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theme/themeOverride3.xml" ContentType="application/vnd.openxmlformats-officedocument.themeOverrid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theme/themeOverride4.xml" ContentType="application/vnd.openxmlformats-officedocument.themeOverrid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theme/themeOverride5.xml" ContentType="application/vnd.openxmlformats-officedocument.themeOverride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theme/themeOverride6.xml" ContentType="application/vnd.openxmlformats-officedocument.themeOverride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1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ma\Desktop\Biogeo- sciences\"/>
    </mc:Choice>
  </mc:AlternateContent>
  <bookViews>
    <workbookView xWindow="0" yWindow="0" windowWidth="20490" windowHeight="7530" xr2:uid="{00000000-000D-0000-FFFF-FFFF00000000}"/>
  </bookViews>
  <sheets>
    <sheet name="All-Info" sheetId="2" r:id="rId1"/>
    <sheet name="1-NH4" sheetId="1" r:id="rId2"/>
    <sheet name="1-Bac" sheetId="6" r:id="rId3"/>
    <sheet name="1-Vir" sheetId="7" r:id="rId4"/>
    <sheet name="1-PP" sheetId="11" r:id="rId5"/>
    <sheet name="2-NH4" sheetId="4" r:id="rId6"/>
    <sheet name="2-Bac" sheetId="9" r:id="rId7"/>
    <sheet name="2-Vir" sheetId="10" r:id="rId8"/>
    <sheet name="All-Chla" sheetId="12" r:id="rId9"/>
    <sheet name="1-PP-New" sheetId="16" r:id="rId10"/>
    <sheet name="2-PP-New" sheetId="17" r:id="rId11"/>
    <sheet name="Lysate" sheetId="19" r:id="rId12"/>
  </sheets>
  <calcPr calcId="171027"/>
</workbook>
</file>

<file path=xl/calcChain.xml><?xml version="1.0" encoding="utf-8"?>
<calcChain xmlns="http://schemas.openxmlformats.org/spreadsheetml/2006/main">
  <c r="T61" i="19" l="1"/>
  <c r="AI21" i="16" l="1"/>
  <c r="AH34" i="16"/>
  <c r="AI34" i="16" s="1"/>
  <c r="AH21" i="16"/>
  <c r="K5" i="16" l="1"/>
  <c r="L5" i="16"/>
  <c r="M5" i="16"/>
  <c r="N5" i="16"/>
  <c r="K6" i="16"/>
  <c r="L6" i="16"/>
  <c r="M6" i="16"/>
  <c r="N6" i="16"/>
  <c r="K7" i="16"/>
  <c r="L7" i="16"/>
  <c r="M7" i="16"/>
  <c r="N7" i="16"/>
  <c r="K8" i="16"/>
  <c r="L8" i="16"/>
  <c r="M8" i="16"/>
  <c r="N8" i="16"/>
  <c r="K9" i="16"/>
  <c r="L9" i="16"/>
  <c r="M9" i="16"/>
  <c r="N9" i="16"/>
  <c r="K10" i="16"/>
  <c r="L10" i="16"/>
  <c r="M10" i="16"/>
  <c r="N10" i="16"/>
  <c r="K11" i="16"/>
  <c r="L11" i="16"/>
  <c r="M11" i="16"/>
  <c r="N11" i="16"/>
  <c r="K12" i="16"/>
  <c r="L12" i="16"/>
  <c r="M12" i="16"/>
  <c r="N12" i="16"/>
  <c r="K13" i="16"/>
  <c r="L13" i="16"/>
  <c r="M13" i="16"/>
  <c r="N13" i="16"/>
  <c r="K14" i="16"/>
  <c r="L14" i="16"/>
  <c r="M14" i="16"/>
  <c r="N14" i="16"/>
  <c r="K15" i="16"/>
  <c r="L15" i="16"/>
  <c r="M15" i="16"/>
  <c r="N15" i="16"/>
  <c r="K16" i="16"/>
  <c r="L16" i="16"/>
  <c r="M16" i="16"/>
  <c r="N16" i="16"/>
  <c r="K17" i="16"/>
  <c r="L17" i="16"/>
  <c r="M17" i="16"/>
  <c r="N17" i="16"/>
  <c r="K18" i="16"/>
  <c r="L18" i="16"/>
  <c r="M18" i="16"/>
  <c r="N18" i="16"/>
  <c r="K19" i="16"/>
  <c r="L19" i="16"/>
  <c r="M19" i="16"/>
  <c r="N19" i="16"/>
  <c r="K20" i="16"/>
  <c r="L20" i="16"/>
  <c r="M20" i="16"/>
  <c r="N20" i="16"/>
  <c r="K21" i="16"/>
  <c r="L21" i="16"/>
  <c r="M21" i="16"/>
  <c r="N21" i="16"/>
  <c r="K22" i="16"/>
  <c r="L22" i="16"/>
  <c r="M22" i="16"/>
  <c r="N22" i="16"/>
  <c r="K23" i="16"/>
  <c r="L23" i="16"/>
  <c r="M23" i="16"/>
  <c r="N23" i="16"/>
  <c r="K24" i="16"/>
  <c r="L24" i="16"/>
  <c r="M24" i="16"/>
  <c r="N24" i="16"/>
  <c r="K25" i="16"/>
  <c r="L25" i="16"/>
  <c r="M25" i="16"/>
  <c r="N25" i="16"/>
  <c r="K26" i="16"/>
  <c r="L26" i="16"/>
  <c r="M26" i="16"/>
  <c r="N26" i="16"/>
  <c r="K27" i="16"/>
  <c r="L27" i="16"/>
  <c r="M27" i="16"/>
  <c r="N27" i="16"/>
  <c r="K28" i="16"/>
  <c r="L28" i="16"/>
  <c r="M28" i="16"/>
  <c r="N28" i="16"/>
  <c r="K29" i="16"/>
  <c r="L29" i="16"/>
  <c r="M29" i="16"/>
  <c r="N29" i="16"/>
  <c r="K30" i="16"/>
  <c r="L30" i="16"/>
  <c r="M30" i="16"/>
  <c r="N30" i="16"/>
  <c r="K31" i="16"/>
  <c r="L31" i="16"/>
  <c r="M31" i="16"/>
  <c r="N31" i="16"/>
  <c r="K32" i="16"/>
  <c r="L32" i="16"/>
  <c r="M32" i="16"/>
  <c r="N32" i="16"/>
  <c r="K33" i="16"/>
  <c r="L33" i="16"/>
  <c r="M33" i="16"/>
  <c r="N33" i="16"/>
  <c r="K34" i="16"/>
  <c r="L34" i="16"/>
  <c r="M34" i="16"/>
  <c r="N34" i="16"/>
  <c r="K35" i="16"/>
  <c r="L35" i="16"/>
  <c r="M35" i="16"/>
  <c r="N35" i="16"/>
  <c r="K36" i="16"/>
  <c r="L36" i="16"/>
  <c r="M36" i="16"/>
  <c r="N36" i="16"/>
  <c r="K37" i="16"/>
  <c r="L37" i="16"/>
  <c r="M37" i="16"/>
  <c r="N37" i="16"/>
  <c r="K38" i="16"/>
  <c r="L38" i="16"/>
  <c r="M38" i="16"/>
  <c r="N38" i="16"/>
  <c r="K39" i="16"/>
  <c r="L39" i="16"/>
  <c r="M39" i="16"/>
  <c r="N39" i="16"/>
  <c r="K40" i="16"/>
  <c r="L40" i="16"/>
  <c r="M40" i="16"/>
  <c r="N40" i="16"/>
  <c r="K41" i="16"/>
  <c r="L41" i="16"/>
  <c r="M41" i="16"/>
  <c r="N41" i="16"/>
  <c r="K42" i="16"/>
  <c r="L42" i="16"/>
  <c r="M42" i="16"/>
  <c r="N42" i="16"/>
  <c r="K43" i="16"/>
  <c r="L43" i="16"/>
  <c r="M43" i="16"/>
  <c r="N43" i="16"/>
  <c r="K44" i="16"/>
  <c r="L44" i="16"/>
  <c r="M44" i="16"/>
  <c r="N44" i="16"/>
  <c r="K45" i="16"/>
  <c r="L45" i="16"/>
  <c r="M45" i="16"/>
  <c r="N45" i="16"/>
  <c r="K46" i="16"/>
  <c r="L46" i="16"/>
  <c r="M46" i="16"/>
  <c r="N46" i="16"/>
  <c r="K47" i="16"/>
  <c r="L47" i="16"/>
  <c r="M47" i="16"/>
  <c r="N47" i="16"/>
  <c r="K48" i="16"/>
  <c r="L48" i="16"/>
  <c r="M48" i="16"/>
  <c r="N48" i="16"/>
  <c r="K49" i="16"/>
  <c r="L49" i="16"/>
  <c r="M49" i="16"/>
  <c r="N49" i="16"/>
  <c r="K50" i="16"/>
  <c r="L50" i="16"/>
  <c r="M50" i="16"/>
  <c r="N50" i="16"/>
  <c r="K51" i="16"/>
  <c r="L51" i="16"/>
  <c r="M51" i="16"/>
  <c r="N51" i="16"/>
  <c r="K52" i="16"/>
  <c r="L52" i="16"/>
  <c r="M52" i="16"/>
  <c r="N52" i="16"/>
  <c r="K53" i="16"/>
  <c r="L53" i="16"/>
  <c r="M53" i="16"/>
  <c r="N53" i="16"/>
  <c r="K54" i="16"/>
  <c r="L54" i="16"/>
  <c r="M54" i="16"/>
  <c r="N54" i="16"/>
  <c r="K55" i="16"/>
  <c r="L55" i="16"/>
  <c r="M55" i="16"/>
  <c r="N55" i="16"/>
  <c r="K56" i="16"/>
  <c r="L56" i="16"/>
  <c r="M56" i="16"/>
  <c r="N56" i="16"/>
  <c r="K57" i="16"/>
  <c r="L57" i="16"/>
  <c r="M57" i="16"/>
  <c r="N57" i="16"/>
  <c r="K58" i="16"/>
  <c r="L58" i="16"/>
  <c r="M58" i="16"/>
  <c r="N58" i="16"/>
  <c r="K59" i="16"/>
  <c r="L59" i="16"/>
  <c r="M59" i="16"/>
  <c r="N59" i="16"/>
  <c r="K60" i="16"/>
  <c r="L60" i="16"/>
  <c r="M60" i="16"/>
  <c r="N60" i="16"/>
  <c r="N4" i="16"/>
  <c r="M4" i="16"/>
  <c r="L4" i="16"/>
  <c r="K4" i="16"/>
  <c r="K5" i="17"/>
  <c r="L5" i="17"/>
  <c r="M5" i="17"/>
  <c r="N5" i="17"/>
  <c r="K6" i="17"/>
  <c r="L6" i="17"/>
  <c r="M6" i="17"/>
  <c r="N6" i="17"/>
  <c r="K7" i="17"/>
  <c r="L7" i="17"/>
  <c r="M7" i="17"/>
  <c r="N7" i="17"/>
  <c r="K8" i="17"/>
  <c r="L8" i="17"/>
  <c r="M8" i="17"/>
  <c r="N8" i="17"/>
  <c r="K9" i="17"/>
  <c r="L9" i="17"/>
  <c r="M9" i="17"/>
  <c r="N9" i="17"/>
  <c r="K10" i="17"/>
  <c r="L10" i="17"/>
  <c r="M10" i="17"/>
  <c r="N10" i="17"/>
  <c r="K11" i="17"/>
  <c r="L11" i="17"/>
  <c r="M11" i="17"/>
  <c r="N11" i="17"/>
  <c r="K12" i="17"/>
  <c r="L12" i="17"/>
  <c r="M12" i="17"/>
  <c r="N12" i="17"/>
  <c r="K13" i="17"/>
  <c r="L13" i="17"/>
  <c r="M13" i="17"/>
  <c r="N13" i="17"/>
  <c r="K14" i="17"/>
  <c r="L14" i="17"/>
  <c r="M14" i="17"/>
  <c r="N14" i="17"/>
  <c r="K15" i="17"/>
  <c r="L15" i="17"/>
  <c r="M15" i="17"/>
  <c r="N15" i="17"/>
  <c r="K16" i="17"/>
  <c r="L16" i="17"/>
  <c r="M16" i="17"/>
  <c r="N16" i="17"/>
  <c r="K17" i="17"/>
  <c r="L17" i="17"/>
  <c r="M17" i="17"/>
  <c r="N17" i="17"/>
  <c r="K18" i="17"/>
  <c r="L18" i="17"/>
  <c r="M18" i="17"/>
  <c r="N18" i="17"/>
  <c r="K19" i="17"/>
  <c r="L19" i="17"/>
  <c r="M19" i="17"/>
  <c r="N19" i="17"/>
  <c r="K20" i="17"/>
  <c r="L20" i="17"/>
  <c r="M20" i="17"/>
  <c r="N20" i="17"/>
  <c r="K21" i="17"/>
  <c r="L21" i="17"/>
  <c r="M21" i="17"/>
  <c r="N21" i="17"/>
  <c r="K22" i="17"/>
  <c r="L22" i="17"/>
  <c r="M22" i="17"/>
  <c r="N22" i="17"/>
  <c r="K23" i="17"/>
  <c r="L23" i="17"/>
  <c r="M23" i="17"/>
  <c r="N23" i="17"/>
  <c r="K24" i="17"/>
  <c r="L24" i="17"/>
  <c r="M24" i="17"/>
  <c r="N24" i="17"/>
  <c r="K25" i="17"/>
  <c r="L25" i="17"/>
  <c r="M25" i="17"/>
  <c r="N25" i="17"/>
  <c r="K26" i="17"/>
  <c r="L26" i="17"/>
  <c r="M26" i="17"/>
  <c r="N26" i="17"/>
  <c r="K27" i="17"/>
  <c r="L27" i="17"/>
  <c r="M27" i="17"/>
  <c r="N27" i="17"/>
  <c r="K28" i="17"/>
  <c r="L28" i="17"/>
  <c r="M28" i="17"/>
  <c r="N28" i="17"/>
  <c r="K29" i="17"/>
  <c r="L29" i="17"/>
  <c r="M29" i="17"/>
  <c r="N29" i="17"/>
  <c r="K30" i="17"/>
  <c r="L30" i="17"/>
  <c r="M30" i="17"/>
  <c r="N30" i="17"/>
  <c r="K31" i="17"/>
  <c r="L31" i="17"/>
  <c r="M31" i="17"/>
  <c r="N31" i="17"/>
  <c r="K32" i="17"/>
  <c r="L32" i="17"/>
  <c r="M32" i="17"/>
  <c r="N32" i="17"/>
  <c r="K33" i="17"/>
  <c r="L33" i="17"/>
  <c r="M33" i="17"/>
  <c r="N33" i="17"/>
  <c r="K34" i="17"/>
  <c r="L34" i="17"/>
  <c r="M34" i="17"/>
  <c r="N34" i="17"/>
  <c r="K35" i="17"/>
  <c r="L35" i="17"/>
  <c r="M35" i="17"/>
  <c r="N35" i="17"/>
  <c r="K36" i="17"/>
  <c r="L36" i="17"/>
  <c r="M36" i="17"/>
  <c r="N36" i="17"/>
  <c r="K38" i="17"/>
  <c r="L38" i="17"/>
  <c r="M38" i="17"/>
  <c r="N38" i="17"/>
  <c r="N4" i="17"/>
  <c r="M4" i="17"/>
  <c r="L4" i="17"/>
  <c r="K4" i="17"/>
  <c r="L46" i="19" l="1"/>
  <c r="U40" i="19" s="1"/>
  <c r="G48" i="19"/>
  <c r="L48" i="19" s="1"/>
  <c r="W40" i="19" s="1"/>
  <c r="U44" i="19" s="1"/>
  <c r="G49" i="19"/>
  <c r="L49" i="19" s="1"/>
  <c r="W41" i="19" s="1"/>
  <c r="G47" i="19"/>
  <c r="L47" i="19" s="1"/>
  <c r="U41" i="19" s="1"/>
  <c r="T53" i="19" s="1"/>
  <c r="G46" i="19"/>
  <c r="L33" i="19"/>
  <c r="M33" i="19"/>
  <c r="M34" i="19"/>
  <c r="N34" i="19"/>
  <c r="T41" i="19" s="1"/>
  <c r="L32" i="19"/>
  <c r="N32" i="19"/>
  <c r="M32" i="19"/>
  <c r="G34" i="19"/>
  <c r="L34" i="19" s="1"/>
  <c r="G35" i="19"/>
  <c r="L35" i="19" s="1"/>
  <c r="G36" i="19"/>
  <c r="M36" i="19" s="1"/>
  <c r="G33" i="19"/>
  <c r="N33" i="19" s="1"/>
  <c r="G32" i="19"/>
  <c r="U45" i="19" l="1"/>
  <c r="T40" i="19"/>
  <c r="T52" i="19"/>
  <c r="N36" i="19"/>
  <c r="V41" i="19" s="1"/>
  <c r="T45" i="19" s="1"/>
  <c r="T49" i="19" s="1"/>
  <c r="T58" i="19" s="1"/>
  <c r="M35" i="19"/>
  <c r="L36" i="19"/>
  <c r="N35" i="19"/>
  <c r="V40" i="19" s="1"/>
  <c r="T44" i="19" l="1"/>
  <c r="T48" i="19" s="1"/>
  <c r="T57" i="19" s="1"/>
  <c r="E23" i="19"/>
  <c r="F23" i="19" s="1"/>
  <c r="E20" i="19"/>
  <c r="F20" i="19" s="1"/>
  <c r="D25" i="19"/>
  <c r="E25" i="19" s="1"/>
  <c r="D23" i="19"/>
  <c r="D26" i="19"/>
  <c r="E26" i="19" s="1"/>
  <c r="D22" i="19"/>
  <c r="E22" i="19" s="1"/>
  <c r="F22" i="19" s="1"/>
  <c r="D21" i="19"/>
  <c r="E21" i="19" s="1"/>
  <c r="F21" i="19" s="1"/>
  <c r="D20" i="19"/>
  <c r="E12" i="19"/>
  <c r="E13" i="19"/>
  <c r="E14" i="19"/>
  <c r="E15" i="19"/>
  <c r="E16" i="19"/>
  <c r="E5" i="19"/>
  <c r="E6" i="19"/>
  <c r="E7" i="19"/>
  <c r="E8" i="19"/>
  <c r="E4" i="19"/>
  <c r="Y15" i="16" l="1"/>
  <c r="Y14" i="16"/>
  <c r="AA13" i="16"/>
  <c r="AB13" i="16"/>
  <c r="AC13" i="16"/>
  <c r="Z13" i="16"/>
  <c r="AA6" i="16"/>
  <c r="AB6" i="16"/>
  <c r="AB14" i="16" s="1"/>
  <c r="AC6" i="16"/>
  <c r="AA7" i="16"/>
  <c r="AA14" i="16" s="1"/>
  <c r="AB7" i="16"/>
  <c r="AC7" i="16"/>
  <c r="AC14" i="16" s="1"/>
  <c r="AA8" i="16"/>
  <c r="AB8" i="16"/>
  <c r="AC8" i="16"/>
  <c r="AA9" i="16"/>
  <c r="AA15" i="16" s="1"/>
  <c r="AB9" i="16"/>
  <c r="AC9" i="16"/>
  <c r="AC15" i="16" s="1"/>
  <c r="AA10" i="16"/>
  <c r="AB10" i="16"/>
  <c r="AC10" i="16"/>
  <c r="Z10" i="16"/>
  <c r="Z9" i="16"/>
  <c r="Z8" i="16"/>
  <c r="Z7" i="16"/>
  <c r="Z6" i="16"/>
  <c r="AI11" i="17"/>
  <c r="AI10" i="17"/>
  <c r="AI18" i="17" s="1"/>
  <c r="AI9" i="17"/>
  <c r="AI7" i="17"/>
  <c r="AH10" i="17"/>
  <c r="AH7" i="17"/>
  <c r="AG10" i="17"/>
  <c r="AG7" i="17"/>
  <c r="AI8" i="17"/>
  <c r="AI6" i="17"/>
  <c r="AH11" i="17"/>
  <c r="AH9" i="17"/>
  <c r="AH8" i="17"/>
  <c r="AH6" i="17"/>
  <c r="AG11" i="17"/>
  <c r="AG9" i="17"/>
  <c r="AG8" i="17"/>
  <c r="AG6" i="17"/>
  <c r="AF11" i="17"/>
  <c r="AF10" i="17"/>
  <c r="AF9" i="17"/>
  <c r="AF18" i="17" s="1"/>
  <c r="AF8" i="17"/>
  <c r="AF7" i="17"/>
  <c r="AF6" i="17"/>
  <c r="AG13" i="17"/>
  <c r="AH13" i="17"/>
  <c r="AI13" i="17"/>
  <c r="AF13" i="17"/>
  <c r="AF15" i="17"/>
  <c r="AI17" i="17"/>
  <c r="AG18" i="17"/>
  <c r="AB13" i="17"/>
  <c r="AC13" i="17"/>
  <c r="AD13" i="17"/>
  <c r="AA13" i="17"/>
  <c r="Z15" i="17"/>
  <c r="Z14" i="17"/>
  <c r="AA7" i="17"/>
  <c r="AB7" i="17"/>
  <c r="AC7" i="17"/>
  <c r="AD7" i="17"/>
  <c r="AD14" i="17" s="1"/>
  <c r="AA8" i="17"/>
  <c r="AB8" i="17"/>
  <c r="AC8" i="17"/>
  <c r="AD8" i="17"/>
  <c r="AA9" i="17"/>
  <c r="AB9" i="17"/>
  <c r="AC9" i="17"/>
  <c r="AD9" i="17"/>
  <c r="AA10" i="17"/>
  <c r="AB10" i="17"/>
  <c r="AC10" i="17"/>
  <c r="AD10" i="17"/>
  <c r="AA11" i="17"/>
  <c r="AB11" i="17"/>
  <c r="AC11" i="17"/>
  <c r="AD11" i="17"/>
  <c r="AB6" i="17"/>
  <c r="AC6" i="17"/>
  <c r="AC14" i="17" s="1"/>
  <c r="AD6" i="17"/>
  <c r="AA6" i="17"/>
  <c r="AA14" i="17" s="1"/>
  <c r="O40" i="16"/>
  <c r="O50" i="16"/>
  <c r="O58" i="16"/>
  <c r="W6" i="16" s="1"/>
  <c r="AH23" i="16" l="1"/>
  <c r="AI23" i="16" s="1"/>
  <c r="AC15" i="17"/>
  <c r="AH18" i="17"/>
  <c r="Z15" i="16"/>
  <c r="AD15" i="17"/>
  <c r="AB15" i="17"/>
  <c r="Z14" i="16"/>
  <c r="AA15" i="17"/>
  <c r="AF17" i="17"/>
  <c r="AG15" i="17"/>
  <c r="AB15" i="16"/>
  <c r="AC18" i="16"/>
  <c r="AA18" i="16"/>
  <c r="AC17" i="16"/>
  <c r="AA17" i="16"/>
  <c r="AB18" i="16"/>
  <c r="Z18" i="16"/>
  <c r="AB17" i="16"/>
  <c r="Z17" i="16"/>
  <c r="AD18" i="17"/>
  <c r="AB18" i="17"/>
  <c r="AD17" i="17"/>
  <c r="AB14" i="17"/>
  <c r="AC18" i="17"/>
  <c r="AA18" i="17"/>
  <c r="AA17" i="17"/>
  <c r="AG17" i="17"/>
  <c r="AH17" i="17"/>
  <c r="AC17" i="17"/>
  <c r="AB17" i="17"/>
  <c r="AF14" i="17"/>
  <c r="AI15" i="17"/>
  <c r="AI14" i="17"/>
  <c r="AH15" i="17"/>
  <c r="AH14" i="17"/>
  <c r="AG14" i="17"/>
  <c r="O60" i="16"/>
  <c r="X6" i="16" s="1"/>
  <c r="O52" i="16"/>
  <c r="U6" i="16" s="1"/>
  <c r="O46" i="16"/>
  <c r="O44" i="16"/>
  <c r="O56" i="16"/>
  <c r="V6" i="16" s="1"/>
  <c r="O38" i="16"/>
  <c r="O42" i="16"/>
  <c r="O34" i="16"/>
  <c r="O51" i="16"/>
  <c r="T9" i="16" s="1"/>
  <c r="O47" i="16"/>
  <c r="T6" i="16" s="1"/>
  <c r="O39" i="16"/>
  <c r="O33" i="16"/>
  <c r="X6" i="17"/>
  <c r="O10" i="16"/>
  <c r="V8" i="16" s="1"/>
  <c r="AH19" i="16" s="1"/>
  <c r="AI19" i="16" s="1"/>
  <c r="O18" i="16"/>
  <c r="W9" i="16" s="1"/>
  <c r="O26" i="16"/>
  <c r="T8" i="16" s="1"/>
  <c r="AH7" i="16" s="1"/>
  <c r="AI7" i="16" s="1"/>
  <c r="O38" i="17"/>
  <c r="O8" i="17"/>
  <c r="U10" i="17" s="1"/>
  <c r="AL9" i="17" s="1"/>
  <c r="AM9" i="17" s="1"/>
  <c r="O10" i="17"/>
  <c r="V6" i="17" s="1"/>
  <c r="O12" i="17"/>
  <c r="V10" i="17" s="1"/>
  <c r="AL15" i="17" s="1"/>
  <c r="AM15" i="17" s="1"/>
  <c r="O14" i="17"/>
  <c r="V11" i="17" s="1"/>
  <c r="AL16" i="17" s="1"/>
  <c r="AM16" i="17" s="1"/>
  <c r="O16" i="17"/>
  <c r="W7" i="17" s="1"/>
  <c r="AL18" i="17" s="1"/>
  <c r="AM18" i="17" s="1"/>
  <c r="O18" i="17"/>
  <c r="W11" i="17" s="1"/>
  <c r="AL22" i="17" s="1"/>
  <c r="AM22" i="17" s="1"/>
  <c r="O20" i="17"/>
  <c r="W9" i="17" s="1"/>
  <c r="O22" i="17"/>
  <c r="O24" i="17"/>
  <c r="X8" i="17" s="1"/>
  <c r="AL25" i="17" s="1"/>
  <c r="AM25" i="17" s="1"/>
  <c r="O26" i="17"/>
  <c r="X10" i="17" s="1"/>
  <c r="AL27" i="17" s="1"/>
  <c r="AM27" i="17" s="1"/>
  <c r="O28" i="17"/>
  <c r="T38" i="17" s="1"/>
  <c r="O30" i="17"/>
  <c r="T40" i="17" s="1"/>
  <c r="O32" i="17"/>
  <c r="Y10" i="17" s="1"/>
  <c r="O34" i="17"/>
  <c r="U38" i="17" s="1"/>
  <c r="O36" i="17"/>
  <c r="U40" i="17" s="1"/>
  <c r="O6" i="17"/>
  <c r="U8" i="17" s="1"/>
  <c r="AL7" i="17" s="1"/>
  <c r="AM7" i="17" s="1"/>
  <c r="O5" i="17"/>
  <c r="U7" i="17" s="1"/>
  <c r="AL6" i="17" s="1"/>
  <c r="AM6" i="17" s="1"/>
  <c r="AL11" i="17" l="1"/>
  <c r="AM11" i="17" s="1"/>
  <c r="AL23" i="17"/>
  <c r="AM23" i="17" s="1"/>
  <c r="X17" i="17"/>
  <c r="AH26" i="16"/>
  <c r="AI26" i="16" s="1"/>
  <c r="W18" i="16"/>
  <c r="S10" i="17"/>
  <c r="AL33" i="17"/>
  <c r="AM33" i="17" s="1"/>
  <c r="AH5" i="16"/>
  <c r="AI5" i="16" s="1"/>
  <c r="T17" i="16"/>
  <c r="AH11" i="16"/>
  <c r="AI11" i="16" s="1"/>
  <c r="V38" i="17"/>
  <c r="AL20" i="17"/>
  <c r="AM20" i="17" s="1"/>
  <c r="AH8" i="16"/>
  <c r="AI8" i="16" s="1"/>
  <c r="AH17" i="16"/>
  <c r="AI17" i="16" s="1"/>
  <c r="AH29" i="16"/>
  <c r="AI29" i="16" s="1"/>
  <c r="V40" i="17"/>
  <c r="Y6" i="17"/>
  <c r="Y8" i="17"/>
  <c r="O14" i="16"/>
  <c r="W11" i="16" s="1"/>
  <c r="AH28" i="16" s="1"/>
  <c r="AI28" i="16" s="1"/>
  <c r="O22" i="16"/>
  <c r="X9" i="16" s="1"/>
  <c r="O24" i="16"/>
  <c r="V40" i="16" s="1"/>
  <c r="O16" i="16"/>
  <c r="W10" i="16" s="1"/>
  <c r="AH27" i="16" s="1"/>
  <c r="AI27" i="16" s="1"/>
  <c r="O7" i="16"/>
  <c r="U10" i="16" s="1"/>
  <c r="AH15" i="16" s="1"/>
  <c r="AI15" i="16" s="1"/>
  <c r="O28" i="16"/>
  <c r="T7" i="16" s="1"/>
  <c r="AH6" i="16" s="1"/>
  <c r="AI6" i="16" s="1"/>
  <c r="O20" i="16"/>
  <c r="X10" i="16" s="1"/>
  <c r="AH33" i="16" s="1"/>
  <c r="AI33" i="16" s="1"/>
  <c r="O12" i="16"/>
  <c r="V11" i="16" s="1"/>
  <c r="AH22" i="16" s="1"/>
  <c r="AI22" i="16" s="1"/>
  <c r="O27" i="16"/>
  <c r="T11" i="16" s="1"/>
  <c r="AH10" i="16" s="1"/>
  <c r="AI10" i="16" s="1"/>
  <c r="O23" i="16"/>
  <c r="V39" i="16" s="1"/>
  <c r="O19" i="16"/>
  <c r="O15" i="16"/>
  <c r="W8" i="16" s="1"/>
  <c r="AH25" i="16" s="1"/>
  <c r="AI25" i="16" s="1"/>
  <c r="O11" i="16"/>
  <c r="V9" i="16" s="1"/>
  <c r="O4" i="16"/>
  <c r="O5" i="16"/>
  <c r="U7" i="16" s="1"/>
  <c r="AH12" i="16" s="1"/>
  <c r="AI12" i="16" s="1"/>
  <c r="O6" i="16"/>
  <c r="U8" i="16" s="1"/>
  <c r="AH13" i="16" s="1"/>
  <c r="AI13" i="16" s="1"/>
  <c r="O29" i="16"/>
  <c r="T10" i="16" s="1"/>
  <c r="AH9" i="16" s="1"/>
  <c r="AI9" i="16" s="1"/>
  <c r="O25" i="16"/>
  <c r="V41" i="16" s="1"/>
  <c r="O21" i="16"/>
  <c r="O17" i="16"/>
  <c r="W7" i="16" s="1"/>
  <c r="O13" i="16"/>
  <c r="V7" i="16" s="1"/>
  <c r="AH18" i="16" s="1"/>
  <c r="AI18" i="16" s="1"/>
  <c r="O9" i="16"/>
  <c r="U9" i="16" s="1"/>
  <c r="O8" i="16"/>
  <c r="U11" i="16" s="1"/>
  <c r="AH16" i="16" s="1"/>
  <c r="AI16" i="16" s="1"/>
  <c r="O35" i="17"/>
  <c r="U39" i="17" s="1"/>
  <c r="O31" i="17"/>
  <c r="Y9" i="17" s="1"/>
  <c r="O27" i="17"/>
  <c r="X11" i="17" s="1"/>
  <c r="AL28" i="17" s="1"/>
  <c r="AM28" i="17" s="1"/>
  <c r="O23" i="17"/>
  <c r="X7" i="17" s="1"/>
  <c r="O19" i="17"/>
  <c r="W6" i="17" s="1"/>
  <c r="O15" i="17"/>
  <c r="V8" i="17" s="1"/>
  <c r="AL13" i="17" s="1"/>
  <c r="AM13" i="17" s="1"/>
  <c r="O11" i="17"/>
  <c r="V7" i="17" s="1"/>
  <c r="V17" i="17" s="1"/>
  <c r="O7" i="17"/>
  <c r="U9" i="17" s="1"/>
  <c r="O33" i="17"/>
  <c r="Y11" i="17" s="1"/>
  <c r="O29" i="17"/>
  <c r="O25" i="17"/>
  <c r="X9" i="17" s="1"/>
  <c r="O21" i="17"/>
  <c r="W10" i="17" s="1"/>
  <c r="AL21" i="17" s="1"/>
  <c r="AM21" i="17" s="1"/>
  <c r="O17" i="17"/>
  <c r="W8" i="17" s="1"/>
  <c r="AL19" i="17" s="1"/>
  <c r="AM19" i="17" s="1"/>
  <c r="O13" i="17"/>
  <c r="V9" i="17" s="1"/>
  <c r="O9" i="17"/>
  <c r="U11" i="17" s="1"/>
  <c r="AL10" i="17" s="1"/>
  <c r="AM10" i="17" s="1"/>
  <c r="O4" i="17"/>
  <c r="U6" i="17" s="1"/>
  <c r="AH20" i="16" l="1"/>
  <c r="AI20" i="16" s="1"/>
  <c r="V18" i="16"/>
  <c r="AL17" i="17"/>
  <c r="AM17" i="17" s="1"/>
  <c r="W17" i="17"/>
  <c r="T18" i="16"/>
  <c r="AL5" i="17"/>
  <c r="AM5" i="17" s="1"/>
  <c r="U17" i="17"/>
  <c r="AL8" i="17"/>
  <c r="AM8" i="17" s="1"/>
  <c r="U18" i="17"/>
  <c r="X14" i="17"/>
  <c r="AL24" i="17"/>
  <c r="AM24" i="17" s="1"/>
  <c r="S8" i="17"/>
  <c r="AL31" i="17"/>
  <c r="AM31" i="17" s="1"/>
  <c r="U17" i="16"/>
  <c r="AL14" i="17"/>
  <c r="AM14" i="17" s="1"/>
  <c r="V18" i="17"/>
  <c r="AL32" i="17"/>
  <c r="AM32" i="17" s="1"/>
  <c r="Y18" i="17"/>
  <c r="AH32" i="16"/>
  <c r="AI32" i="16" s="1"/>
  <c r="X18" i="16"/>
  <c r="S11" i="17"/>
  <c r="AL34" i="17"/>
  <c r="AM34" i="17" s="1"/>
  <c r="AH24" i="16"/>
  <c r="AI24" i="16" s="1"/>
  <c r="W17" i="16"/>
  <c r="AL26" i="17"/>
  <c r="AM26" i="17" s="1"/>
  <c r="X18" i="17"/>
  <c r="V14" i="17"/>
  <c r="AL12" i="17"/>
  <c r="AM12" i="17" s="1"/>
  <c r="AH14" i="16"/>
  <c r="AI14" i="16" s="1"/>
  <c r="U18" i="16"/>
  <c r="AL29" i="17"/>
  <c r="AM29" i="17" s="1"/>
  <c r="Y17" i="17"/>
  <c r="V17" i="16"/>
  <c r="W18" i="17"/>
  <c r="X8" i="16"/>
  <c r="AH31" i="16" s="1"/>
  <c r="AI31" i="16" s="1"/>
  <c r="U41" i="16"/>
  <c r="W41" i="16" s="1"/>
  <c r="X7" i="16"/>
  <c r="U40" i="16"/>
  <c r="W40" i="16" s="1"/>
  <c r="X15" i="17"/>
  <c r="W14" i="17"/>
  <c r="S6" i="17"/>
  <c r="W15" i="17"/>
  <c r="V15" i="17"/>
  <c r="T39" i="17"/>
  <c r="V39" i="17" s="1"/>
  <c r="Y7" i="17"/>
  <c r="U15" i="17"/>
  <c r="S9" i="17"/>
  <c r="Y15" i="17"/>
  <c r="U14" i="17"/>
  <c r="V14" i="16"/>
  <c r="T15" i="16"/>
  <c r="U14" i="16"/>
  <c r="V15" i="16"/>
  <c r="X15" i="16"/>
  <c r="W15" i="16"/>
  <c r="U15" i="16"/>
  <c r="W14" i="16"/>
  <c r="T14" i="16"/>
  <c r="X14" i="16" l="1"/>
  <c r="AH30" i="16"/>
  <c r="AI30" i="16" s="1"/>
  <c r="X17" i="16"/>
  <c r="S7" i="17"/>
  <c r="AL30" i="17"/>
  <c r="AM30" i="17" s="1"/>
  <c r="Y14" i="17"/>
  <c r="I4" i="12" l="1"/>
  <c r="H4" i="12"/>
  <c r="AC6" i="12"/>
  <c r="K18" i="11" l="1"/>
  <c r="L18" i="11"/>
  <c r="M18" i="11"/>
  <c r="O18" i="11" s="1"/>
  <c r="T14" i="11" s="1"/>
  <c r="N18" i="11"/>
  <c r="K19" i="11"/>
  <c r="L19" i="11"/>
  <c r="M19" i="11"/>
  <c r="N19" i="11"/>
  <c r="K20" i="11"/>
  <c r="L20" i="11"/>
  <c r="M20" i="11"/>
  <c r="N20" i="11"/>
  <c r="K21" i="11"/>
  <c r="L21" i="11"/>
  <c r="M21" i="11"/>
  <c r="N21" i="11"/>
  <c r="K22" i="11"/>
  <c r="L22" i="11"/>
  <c r="O22" i="11" s="1"/>
  <c r="U11" i="11" s="1"/>
  <c r="M22" i="11"/>
  <c r="N22" i="11"/>
  <c r="K23" i="11"/>
  <c r="L23" i="11"/>
  <c r="M23" i="11"/>
  <c r="N23" i="11"/>
  <c r="K24" i="11"/>
  <c r="L24" i="11"/>
  <c r="O24" i="11" s="1"/>
  <c r="U14" i="11" s="1"/>
  <c r="M24" i="11"/>
  <c r="N24" i="11"/>
  <c r="K25" i="11"/>
  <c r="L25" i="11"/>
  <c r="M25" i="11"/>
  <c r="N25" i="11"/>
  <c r="K26" i="11"/>
  <c r="O26" i="11" s="1"/>
  <c r="V11" i="11" s="1"/>
  <c r="L26" i="11"/>
  <c r="M26" i="11"/>
  <c r="N26" i="11"/>
  <c r="K27" i="11"/>
  <c r="L27" i="11"/>
  <c r="M27" i="11"/>
  <c r="N27" i="11"/>
  <c r="K28" i="11"/>
  <c r="L28" i="11"/>
  <c r="M28" i="11"/>
  <c r="N28" i="11"/>
  <c r="K29" i="11"/>
  <c r="L29" i="11"/>
  <c r="M29" i="11"/>
  <c r="N29" i="11"/>
  <c r="K30" i="11"/>
  <c r="L30" i="11"/>
  <c r="M30" i="11"/>
  <c r="N30" i="11"/>
  <c r="O30" i="11"/>
  <c r="W14" i="11" s="1"/>
  <c r="K31" i="11"/>
  <c r="L31" i="11"/>
  <c r="M31" i="11"/>
  <c r="N31" i="11"/>
  <c r="K32" i="11"/>
  <c r="L32" i="11"/>
  <c r="M32" i="11"/>
  <c r="N32" i="11"/>
  <c r="K33" i="11"/>
  <c r="L33" i="11"/>
  <c r="M33" i="11"/>
  <c r="N33" i="11"/>
  <c r="K34" i="11"/>
  <c r="L34" i="11"/>
  <c r="M34" i="11"/>
  <c r="O34" i="11" s="1"/>
  <c r="W12" i="11" s="1"/>
  <c r="N34" i="11"/>
  <c r="K35" i="11"/>
  <c r="L35" i="11"/>
  <c r="M35" i="11"/>
  <c r="N35" i="11"/>
  <c r="K36" i="11"/>
  <c r="L36" i="11"/>
  <c r="M36" i="11"/>
  <c r="N36" i="11"/>
  <c r="K37" i="11"/>
  <c r="L37" i="11"/>
  <c r="M37" i="11"/>
  <c r="N37" i="11"/>
  <c r="K38" i="11"/>
  <c r="L38" i="11"/>
  <c r="O38" i="11" s="1"/>
  <c r="X12" i="11" s="1"/>
  <c r="M38" i="11"/>
  <c r="N38" i="11"/>
  <c r="K39" i="11"/>
  <c r="L39" i="11"/>
  <c r="M39" i="11"/>
  <c r="N39" i="11"/>
  <c r="K40" i="11"/>
  <c r="L40" i="11"/>
  <c r="O40" i="11" s="1"/>
  <c r="T28" i="11" s="1"/>
  <c r="M40" i="11"/>
  <c r="N40" i="11"/>
  <c r="K41" i="11"/>
  <c r="L41" i="11"/>
  <c r="M41" i="11"/>
  <c r="N41" i="11"/>
  <c r="K17" i="11"/>
  <c r="L17" i="11"/>
  <c r="M17" i="11"/>
  <c r="N17" i="11"/>
  <c r="W18" i="11" l="1"/>
  <c r="W21" i="11"/>
  <c r="O20" i="11"/>
  <c r="T13" i="11" s="1"/>
  <c r="O32" i="11"/>
  <c r="W13" i="11" s="1"/>
  <c r="O36" i="11"/>
  <c r="X13" i="11" s="1"/>
  <c r="X18" i="11" s="1"/>
  <c r="O28" i="11"/>
  <c r="V14" i="11" s="1"/>
  <c r="O41" i="11"/>
  <c r="T29" i="11" s="1"/>
  <c r="O39" i="11"/>
  <c r="T27" i="11" s="1"/>
  <c r="O37" i="11"/>
  <c r="O33" i="11"/>
  <c r="W10" i="11" s="1"/>
  <c r="O29" i="11"/>
  <c r="V10" i="11" s="1"/>
  <c r="O25" i="11"/>
  <c r="U12" i="11" s="1"/>
  <c r="O21" i="11"/>
  <c r="U10" i="11" s="1"/>
  <c r="O35" i="11"/>
  <c r="O31" i="11"/>
  <c r="W11" i="11" s="1"/>
  <c r="O27" i="11"/>
  <c r="V12" i="11" s="1"/>
  <c r="O23" i="11"/>
  <c r="U13" i="11" s="1"/>
  <c r="O19" i="11"/>
  <c r="T10" i="11" s="1"/>
  <c r="O17" i="11"/>
  <c r="T11" i="11" s="1"/>
  <c r="H31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Q14" i="12" s="1"/>
  <c r="H15" i="12"/>
  <c r="H14" i="12"/>
  <c r="H13" i="12"/>
  <c r="H12" i="12"/>
  <c r="H11" i="12"/>
  <c r="H10" i="12"/>
  <c r="H9" i="12"/>
  <c r="H8" i="12"/>
  <c r="H7" i="12"/>
  <c r="Q8" i="12" s="1"/>
  <c r="H6" i="12"/>
  <c r="H5" i="12"/>
  <c r="Q7" i="12"/>
  <c r="R9" i="12" l="1"/>
  <c r="AD6" i="12"/>
  <c r="I10" i="12"/>
  <c r="Q15" i="12"/>
  <c r="I20" i="12"/>
  <c r="AC18" i="12"/>
  <c r="I26" i="12"/>
  <c r="AD18" i="12"/>
  <c r="S28" i="11"/>
  <c r="X10" i="11"/>
  <c r="I5" i="12"/>
  <c r="AC7" i="12"/>
  <c r="Q9" i="12"/>
  <c r="R8" i="12"/>
  <c r="AD10" i="12"/>
  <c r="I14" i="12"/>
  <c r="AD19" i="12"/>
  <c r="I27" i="12"/>
  <c r="AC8" i="12"/>
  <c r="I6" i="12"/>
  <c r="I12" i="12"/>
  <c r="AD8" i="12"/>
  <c r="I18" i="12"/>
  <c r="AC16" i="12"/>
  <c r="AC19" i="12"/>
  <c r="I21" i="12"/>
  <c r="I24" i="12"/>
  <c r="AD16" i="12"/>
  <c r="V21" i="11"/>
  <c r="V18" i="11"/>
  <c r="U21" i="11"/>
  <c r="U18" i="11"/>
  <c r="X21" i="11"/>
  <c r="Q10" i="12"/>
  <c r="AC9" i="12"/>
  <c r="I7" i="12"/>
  <c r="Q16" i="12"/>
  <c r="I16" i="12"/>
  <c r="AC14" i="12"/>
  <c r="R14" i="12"/>
  <c r="R16" i="12"/>
  <c r="I22" i="12"/>
  <c r="AD14" i="12"/>
  <c r="I11" i="12"/>
  <c r="AD7" i="12"/>
  <c r="AC15" i="12"/>
  <c r="I17" i="12"/>
  <c r="AD15" i="12"/>
  <c r="I23" i="12"/>
  <c r="S29" i="11"/>
  <c r="X11" i="11"/>
  <c r="I8" i="12"/>
  <c r="AC10" i="12"/>
  <c r="R15" i="12"/>
  <c r="R7" i="12"/>
  <c r="I9" i="12"/>
  <c r="AC11" i="12"/>
  <c r="R10" i="12"/>
  <c r="I13" i="12"/>
  <c r="AD9" i="12"/>
  <c r="I15" i="12"/>
  <c r="AD11" i="12"/>
  <c r="Q17" i="12"/>
  <c r="AC17" i="12"/>
  <c r="I19" i="12"/>
  <c r="R17" i="12"/>
  <c r="I25" i="12"/>
  <c r="AD17" i="12"/>
  <c r="L14" i="10"/>
  <c r="L18" i="10"/>
  <c r="R10" i="10" s="1"/>
  <c r="L26" i="10"/>
  <c r="S8" i="10" s="1"/>
  <c r="L30" i="10"/>
  <c r="S12" i="10" s="1"/>
  <c r="L34" i="10"/>
  <c r="T10" i="10" s="1"/>
  <c r="L42" i="10"/>
  <c r="L46" i="10"/>
  <c r="Q12" i="10"/>
  <c r="U12" i="10"/>
  <c r="U8" i="10"/>
  <c r="U15" i="10"/>
  <c r="T15" i="10"/>
  <c r="S15" i="10"/>
  <c r="R15" i="10"/>
  <c r="Q15" i="10"/>
  <c r="T15" i="9"/>
  <c r="S15" i="9"/>
  <c r="R15" i="9"/>
  <c r="Q15" i="9"/>
  <c r="P15" i="9"/>
  <c r="L10" i="7"/>
  <c r="R8" i="7" s="1"/>
  <c r="V15" i="7"/>
  <c r="U15" i="7"/>
  <c r="T15" i="7"/>
  <c r="S15" i="7"/>
  <c r="R15" i="7"/>
  <c r="Q14" i="6"/>
  <c r="R14" i="6"/>
  <c r="S14" i="6"/>
  <c r="T14" i="6"/>
  <c r="P14" i="6"/>
  <c r="K7" i="11"/>
  <c r="L7" i="11"/>
  <c r="O7" i="11" s="1"/>
  <c r="M7" i="11"/>
  <c r="N7" i="11"/>
  <c r="K8" i="11"/>
  <c r="L8" i="11"/>
  <c r="M8" i="11"/>
  <c r="N8" i="11"/>
  <c r="K9" i="11"/>
  <c r="L9" i="11"/>
  <c r="M9" i="11"/>
  <c r="N9" i="11"/>
  <c r="K10" i="11"/>
  <c r="L10" i="11"/>
  <c r="M10" i="11"/>
  <c r="N10" i="11"/>
  <c r="K11" i="11"/>
  <c r="L11" i="11"/>
  <c r="O11" i="11" s="1"/>
  <c r="T12" i="11" s="1"/>
  <c r="M11" i="11"/>
  <c r="N11" i="11"/>
  <c r="K12" i="11"/>
  <c r="L12" i="11"/>
  <c r="M12" i="11"/>
  <c r="N12" i="11"/>
  <c r="K13" i="11"/>
  <c r="L13" i="11"/>
  <c r="M13" i="11"/>
  <c r="N13" i="11"/>
  <c r="K14" i="11"/>
  <c r="L14" i="11"/>
  <c r="M14" i="11"/>
  <c r="N14" i="11"/>
  <c r="K15" i="11"/>
  <c r="L15" i="11"/>
  <c r="M15" i="11"/>
  <c r="N15" i="11"/>
  <c r="N6" i="11"/>
  <c r="M6" i="11"/>
  <c r="L6" i="11"/>
  <c r="K6" i="11"/>
  <c r="G12" i="10"/>
  <c r="L12" i="10" s="1"/>
  <c r="Q10" i="10" s="1"/>
  <c r="G13" i="10"/>
  <c r="L13" i="10" s="1"/>
  <c r="Q11" i="10" s="1"/>
  <c r="G14" i="10"/>
  <c r="G15" i="10"/>
  <c r="L15" i="10" s="1"/>
  <c r="Q13" i="10" s="1"/>
  <c r="G16" i="10"/>
  <c r="L16" i="10" s="1"/>
  <c r="G17" i="10"/>
  <c r="L17" i="10" s="1"/>
  <c r="R9" i="10" s="1"/>
  <c r="G18" i="10"/>
  <c r="G19" i="10"/>
  <c r="L19" i="10" s="1"/>
  <c r="R11" i="10" s="1"/>
  <c r="G20" i="10"/>
  <c r="L20" i="10" s="1"/>
  <c r="R12" i="10" s="1"/>
  <c r="G21" i="10"/>
  <c r="L21" i="10" s="1"/>
  <c r="R13" i="10" s="1"/>
  <c r="G26" i="10"/>
  <c r="G27" i="10"/>
  <c r="L27" i="10" s="1"/>
  <c r="S9" i="10" s="1"/>
  <c r="G28" i="10"/>
  <c r="L28" i="10" s="1"/>
  <c r="S10" i="10" s="1"/>
  <c r="G29" i="10"/>
  <c r="L29" i="10" s="1"/>
  <c r="S11" i="10" s="1"/>
  <c r="G30" i="10"/>
  <c r="G31" i="10"/>
  <c r="L31" i="10" s="1"/>
  <c r="S13" i="10" s="1"/>
  <c r="G32" i="10"/>
  <c r="L32" i="10" s="1"/>
  <c r="T8" i="10" s="1"/>
  <c r="T16" i="10" s="1"/>
  <c r="G33" i="10"/>
  <c r="L33" i="10" s="1"/>
  <c r="T9" i="10" s="1"/>
  <c r="G34" i="10"/>
  <c r="G35" i="10"/>
  <c r="L35" i="10" s="1"/>
  <c r="T11" i="10" s="1"/>
  <c r="G36" i="10"/>
  <c r="L36" i="10" s="1"/>
  <c r="T12" i="10" s="1"/>
  <c r="G37" i="10"/>
  <c r="L37" i="10" s="1"/>
  <c r="T13" i="10" s="1"/>
  <c r="G42" i="10"/>
  <c r="G43" i="10"/>
  <c r="L43" i="10" s="1"/>
  <c r="U9" i="10" s="1"/>
  <c r="G44" i="10"/>
  <c r="L44" i="10" s="1"/>
  <c r="U10" i="10" s="1"/>
  <c r="G45" i="10"/>
  <c r="L45" i="10" s="1"/>
  <c r="U11" i="10" s="1"/>
  <c r="G46" i="10"/>
  <c r="G47" i="10"/>
  <c r="L47" i="10" s="1"/>
  <c r="U13" i="10" s="1"/>
  <c r="G48" i="10"/>
  <c r="L48" i="10" s="1"/>
  <c r="R8" i="10" s="1"/>
  <c r="G12" i="9"/>
  <c r="K12" i="9" s="1"/>
  <c r="Q8" i="9" s="1"/>
  <c r="X13" i="9" s="1"/>
  <c r="Y13" i="9" s="1"/>
  <c r="G13" i="9"/>
  <c r="K13" i="9" s="1"/>
  <c r="Q9" i="9" s="1"/>
  <c r="G14" i="9"/>
  <c r="K14" i="9" s="1"/>
  <c r="Q10" i="9" s="1"/>
  <c r="X15" i="9" s="1"/>
  <c r="Y15" i="9" s="1"/>
  <c r="G15" i="9"/>
  <c r="K15" i="9" s="1"/>
  <c r="Q11" i="9" s="1"/>
  <c r="G16" i="9"/>
  <c r="K16" i="9" s="1"/>
  <c r="Q12" i="9" s="1"/>
  <c r="X17" i="9" s="1"/>
  <c r="Y17" i="9" s="1"/>
  <c r="G17" i="9"/>
  <c r="K17" i="9" s="1"/>
  <c r="Q13" i="9" s="1"/>
  <c r="X18" i="9" s="1"/>
  <c r="Y18" i="9" s="1"/>
  <c r="G18" i="9"/>
  <c r="K18" i="9" s="1"/>
  <c r="R8" i="9" s="1"/>
  <c r="G19" i="9"/>
  <c r="K19" i="9" s="1"/>
  <c r="R9" i="9" s="1"/>
  <c r="X20" i="9" s="1"/>
  <c r="Y20" i="9" s="1"/>
  <c r="G20" i="9"/>
  <c r="K20" i="9" s="1"/>
  <c r="R10" i="9" s="1"/>
  <c r="X21" i="9" s="1"/>
  <c r="Y21" i="9" s="1"/>
  <c r="G21" i="9"/>
  <c r="K21" i="9" s="1"/>
  <c r="R11" i="9" s="1"/>
  <c r="G22" i="9"/>
  <c r="K22" i="9" s="1"/>
  <c r="R12" i="9" s="1"/>
  <c r="X23" i="9" s="1"/>
  <c r="Y23" i="9" s="1"/>
  <c r="G23" i="9"/>
  <c r="K23" i="9" s="1"/>
  <c r="R13" i="9" s="1"/>
  <c r="X24" i="9" s="1"/>
  <c r="Y24" i="9" s="1"/>
  <c r="G24" i="9"/>
  <c r="K24" i="9" s="1"/>
  <c r="S8" i="9" s="1"/>
  <c r="X25" i="9" s="1"/>
  <c r="Y25" i="9" s="1"/>
  <c r="G25" i="9"/>
  <c r="K25" i="9" s="1"/>
  <c r="S9" i="9" s="1"/>
  <c r="X26" i="9" s="1"/>
  <c r="Y26" i="9" s="1"/>
  <c r="G26" i="9"/>
  <c r="K26" i="9" s="1"/>
  <c r="S10" i="9" s="1"/>
  <c r="X27" i="9" s="1"/>
  <c r="Y27" i="9" s="1"/>
  <c r="G27" i="9"/>
  <c r="K27" i="9" s="1"/>
  <c r="S11" i="9" s="1"/>
  <c r="G28" i="9"/>
  <c r="K28" i="9" s="1"/>
  <c r="S12" i="9" s="1"/>
  <c r="X29" i="9" s="1"/>
  <c r="Y29" i="9" s="1"/>
  <c r="G29" i="9"/>
  <c r="K29" i="9" s="1"/>
  <c r="S13" i="9" s="1"/>
  <c r="X30" i="9" s="1"/>
  <c r="Y30" i="9" s="1"/>
  <c r="G30" i="9"/>
  <c r="K30" i="9" s="1"/>
  <c r="T8" i="9" s="1"/>
  <c r="G31" i="9"/>
  <c r="K31" i="9" s="1"/>
  <c r="T9" i="9" s="1"/>
  <c r="G32" i="9"/>
  <c r="K32" i="9" s="1"/>
  <c r="T10" i="9" s="1"/>
  <c r="G33" i="9"/>
  <c r="K33" i="9" s="1"/>
  <c r="T11" i="9" s="1"/>
  <c r="G34" i="9"/>
  <c r="K34" i="9" s="1"/>
  <c r="T12" i="9" s="1"/>
  <c r="G35" i="9"/>
  <c r="K35" i="9" s="1"/>
  <c r="T13" i="9" s="1"/>
  <c r="J8" i="7"/>
  <c r="J19" i="7"/>
  <c r="G11" i="7"/>
  <c r="L11" i="7" s="1"/>
  <c r="G12" i="7"/>
  <c r="L12" i="7" s="1"/>
  <c r="R11" i="7" s="1"/>
  <c r="G13" i="7"/>
  <c r="L13" i="7" s="1"/>
  <c r="R12" i="7" s="1"/>
  <c r="G14" i="7"/>
  <c r="L14" i="7" s="1"/>
  <c r="R13" i="7" s="1"/>
  <c r="G15" i="7"/>
  <c r="L15" i="7" s="1"/>
  <c r="R9" i="7" s="1"/>
  <c r="G16" i="7"/>
  <c r="L16" i="7" s="1"/>
  <c r="R10" i="7" s="1"/>
  <c r="G21" i="7"/>
  <c r="L21" i="7" s="1"/>
  <c r="S8" i="7" s="1"/>
  <c r="G22" i="7"/>
  <c r="L22" i="7" s="1"/>
  <c r="S9" i="7" s="1"/>
  <c r="G23" i="7"/>
  <c r="L23" i="7" s="1"/>
  <c r="S10" i="7" s="1"/>
  <c r="G24" i="7"/>
  <c r="L24" i="7" s="1"/>
  <c r="S11" i="7" s="1"/>
  <c r="S20" i="7" s="1"/>
  <c r="G25" i="7"/>
  <c r="L25" i="7" s="1"/>
  <c r="S12" i="7" s="1"/>
  <c r="G26" i="7"/>
  <c r="L26" i="7" s="1"/>
  <c r="S13" i="7" s="1"/>
  <c r="G31" i="7"/>
  <c r="L31" i="7" s="1"/>
  <c r="T8" i="7" s="1"/>
  <c r="G32" i="7"/>
  <c r="L32" i="7" s="1"/>
  <c r="T9" i="7" s="1"/>
  <c r="G33" i="7"/>
  <c r="L33" i="7" s="1"/>
  <c r="T10" i="7" s="1"/>
  <c r="G34" i="7"/>
  <c r="L34" i="7" s="1"/>
  <c r="T11" i="7" s="1"/>
  <c r="G35" i="7"/>
  <c r="L35" i="7" s="1"/>
  <c r="T12" i="7" s="1"/>
  <c r="G36" i="7"/>
  <c r="L36" i="7" s="1"/>
  <c r="T13" i="7" s="1"/>
  <c r="G40" i="7"/>
  <c r="L40" i="7" s="1"/>
  <c r="U8" i="7" s="1"/>
  <c r="G41" i="7"/>
  <c r="L41" i="7" s="1"/>
  <c r="U9" i="7" s="1"/>
  <c r="G42" i="7"/>
  <c r="L42" i="7" s="1"/>
  <c r="U10" i="7" s="1"/>
  <c r="G43" i="7"/>
  <c r="L43" i="7" s="1"/>
  <c r="U11" i="7" s="1"/>
  <c r="U20" i="7" s="1"/>
  <c r="G44" i="7"/>
  <c r="L44" i="7" s="1"/>
  <c r="U12" i="7" s="1"/>
  <c r="G45" i="7"/>
  <c r="L45" i="7" s="1"/>
  <c r="U13" i="7" s="1"/>
  <c r="G50" i="7"/>
  <c r="L50" i="7" s="1"/>
  <c r="V8" i="7" s="1"/>
  <c r="G51" i="7"/>
  <c r="L51" i="7" s="1"/>
  <c r="V9" i="7" s="1"/>
  <c r="G52" i="7"/>
  <c r="L52" i="7" s="1"/>
  <c r="V10" i="7" s="1"/>
  <c r="G53" i="7"/>
  <c r="L53" i="7" s="1"/>
  <c r="V11" i="7" s="1"/>
  <c r="G54" i="7"/>
  <c r="L54" i="7" s="1"/>
  <c r="V12" i="7" s="1"/>
  <c r="G55" i="7"/>
  <c r="L55" i="7" s="1"/>
  <c r="V13" i="7" s="1"/>
  <c r="K13" i="6"/>
  <c r="Q8" i="6" s="1"/>
  <c r="W13" i="6" s="1"/>
  <c r="X13" i="6" s="1"/>
  <c r="K17" i="6"/>
  <c r="Q12" i="6" s="1"/>
  <c r="W17" i="6" s="1"/>
  <c r="X17" i="6" s="1"/>
  <c r="K21" i="6"/>
  <c r="R10" i="6" s="1"/>
  <c r="K25" i="6"/>
  <c r="S8" i="6" s="1"/>
  <c r="W25" i="6" s="1"/>
  <c r="X25" i="6" s="1"/>
  <c r="K29" i="6"/>
  <c r="S12" i="6" s="1"/>
  <c r="W29" i="6" s="1"/>
  <c r="X29" i="6" s="1"/>
  <c r="K33" i="6"/>
  <c r="T9" i="6" s="1"/>
  <c r="W32" i="6" s="1"/>
  <c r="X32" i="6" s="1"/>
  <c r="G12" i="6"/>
  <c r="K12" i="6" s="1"/>
  <c r="Q7" i="6" s="1"/>
  <c r="G13" i="6"/>
  <c r="G14" i="6"/>
  <c r="K14" i="6" s="1"/>
  <c r="Q9" i="6" s="1"/>
  <c r="W14" i="6" s="1"/>
  <c r="X14" i="6" s="1"/>
  <c r="G15" i="6"/>
  <c r="K15" i="6" s="1"/>
  <c r="Q10" i="6" s="1"/>
  <c r="G16" i="6"/>
  <c r="K16" i="6" s="1"/>
  <c r="Q11" i="6" s="1"/>
  <c r="W16" i="6" s="1"/>
  <c r="X16" i="6" s="1"/>
  <c r="G17" i="6"/>
  <c r="G18" i="6"/>
  <c r="K18" i="6" s="1"/>
  <c r="R7" i="6" s="1"/>
  <c r="G19" i="6"/>
  <c r="K19" i="6" s="1"/>
  <c r="R8" i="6" s="1"/>
  <c r="W19" i="6" s="1"/>
  <c r="X19" i="6" s="1"/>
  <c r="G20" i="6"/>
  <c r="K20" i="6" s="1"/>
  <c r="R9" i="6" s="1"/>
  <c r="W20" i="6" s="1"/>
  <c r="X20" i="6" s="1"/>
  <c r="G21" i="6"/>
  <c r="G22" i="6"/>
  <c r="K22" i="6" s="1"/>
  <c r="R11" i="6" s="1"/>
  <c r="W22" i="6" s="1"/>
  <c r="X22" i="6" s="1"/>
  <c r="G23" i="6"/>
  <c r="K23" i="6" s="1"/>
  <c r="R12" i="6" s="1"/>
  <c r="W23" i="6" s="1"/>
  <c r="X23" i="6" s="1"/>
  <c r="G24" i="6"/>
  <c r="K24" i="6" s="1"/>
  <c r="S7" i="6" s="1"/>
  <c r="G25" i="6"/>
  <c r="G26" i="6"/>
  <c r="K26" i="6" s="1"/>
  <c r="S9" i="6" s="1"/>
  <c r="W26" i="6" s="1"/>
  <c r="X26" i="6" s="1"/>
  <c r="G27" i="6"/>
  <c r="K27" i="6" s="1"/>
  <c r="S10" i="6" s="1"/>
  <c r="G28" i="6"/>
  <c r="K28" i="6" s="1"/>
  <c r="S11" i="6" s="1"/>
  <c r="W28" i="6" s="1"/>
  <c r="X28" i="6" s="1"/>
  <c r="G29" i="6"/>
  <c r="G30" i="6"/>
  <c r="K30" i="6" s="1"/>
  <c r="G31" i="6"/>
  <c r="K31" i="6" s="1"/>
  <c r="T7" i="6" s="1"/>
  <c r="G32" i="6"/>
  <c r="K32" i="6" s="1"/>
  <c r="T8" i="6" s="1"/>
  <c r="W31" i="6" s="1"/>
  <c r="X31" i="6" s="1"/>
  <c r="G33" i="6"/>
  <c r="G34" i="6"/>
  <c r="K34" i="6" s="1"/>
  <c r="T10" i="6" s="1"/>
  <c r="G35" i="6"/>
  <c r="K35" i="6" s="1"/>
  <c r="T11" i="6" s="1"/>
  <c r="W34" i="6" s="1"/>
  <c r="X34" i="6" s="1"/>
  <c r="G36" i="6"/>
  <c r="K36" i="6" s="1"/>
  <c r="T12" i="6" s="1"/>
  <c r="W35" i="6" s="1"/>
  <c r="X35" i="6" s="1"/>
  <c r="G11" i="10"/>
  <c r="L11" i="10" s="1"/>
  <c r="Q9" i="10" s="1"/>
  <c r="G10" i="10"/>
  <c r="L10" i="10" s="1"/>
  <c r="Q8" i="10" s="1"/>
  <c r="G11" i="9"/>
  <c r="K11" i="9" s="1"/>
  <c r="P13" i="9" s="1"/>
  <c r="X12" i="9" s="1"/>
  <c r="Y12" i="9" s="1"/>
  <c r="K10" i="9"/>
  <c r="P12" i="9" s="1"/>
  <c r="X11" i="9" s="1"/>
  <c r="Y11" i="9" s="1"/>
  <c r="G10" i="9"/>
  <c r="G9" i="9"/>
  <c r="K9" i="9" s="1"/>
  <c r="P11" i="9" s="1"/>
  <c r="K8" i="9"/>
  <c r="P10" i="9" s="1"/>
  <c r="X9" i="9" s="1"/>
  <c r="Y9" i="9" s="1"/>
  <c r="G8" i="9"/>
  <c r="G7" i="9"/>
  <c r="K7" i="9" s="1"/>
  <c r="P9" i="9" s="1"/>
  <c r="X8" i="9" s="1"/>
  <c r="Y8" i="9" s="1"/>
  <c r="K6" i="9"/>
  <c r="P8" i="9" s="1"/>
  <c r="G6" i="9"/>
  <c r="G10" i="7"/>
  <c r="K11" i="6"/>
  <c r="P12" i="6" s="1"/>
  <c r="W11" i="6" s="1"/>
  <c r="X11" i="6" s="1"/>
  <c r="G11" i="6"/>
  <c r="G10" i="6"/>
  <c r="K10" i="6" s="1"/>
  <c r="P11" i="6" s="1"/>
  <c r="W10" i="6" s="1"/>
  <c r="X10" i="6" s="1"/>
  <c r="K9" i="6"/>
  <c r="P10" i="6" s="1"/>
  <c r="G9" i="6"/>
  <c r="G8" i="6"/>
  <c r="K8" i="6" s="1"/>
  <c r="P9" i="6" s="1"/>
  <c r="W8" i="6" s="1"/>
  <c r="X8" i="6" s="1"/>
  <c r="K7" i="6"/>
  <c r="P8" i="6" s="1"/>
  <c r="W7" i="6" s="1"/>
  <c r="X7" i="6" s="1"/>
  <c r="G7" i="6"/>
  <c r="G6" i="6"/>
  <c r="K6" i="6" s="1"/>
  <c r="P7" i="6" s="1"/>
  <c r="AM14" i="12" l="1"/>
  <c r="R20" i="7"/>
  <c r="R17" i="7"/>
  <c r="X32" i="9"/>
  <c r="Y32" i="9" s="1"/>
  <c r="V9" i="9"/>
  <c r="Q20" i="9"/>
  <c r="X16" i="9"/>
  <c r="Y16" i="9" s="1"/>
  <c r="W24" i="6"/>
  <c r="X24" i="6" s="1"/>
  <c r="S15" i="6"/>
  <c r="S18" i="6"/>
  <c r="W21" i="6"/>
  <c r="X21" i="6" s="1"/>
  <c r="R16" i="6"/>
  <c r="R19" i="6"/>
  <c r="V19" i="7"/>
  <c r="X31" i="9"/>
  <c r="Y31" i="9" s="1"/>
  <c r="V8" i="9"/>
  <c r="V20" i="9"/>
  <c r="X19" i="9"/>
  <c r="Y19" i="9" s="1"/>
  <c r="R19" i="9"/>
  <c r="S19" i="10"/>
  <c r="W30" i="6"/>
  <c r="X30" i="6" s="1"/>
  <c r="T15" i="6"/>
  <c r="T18" i="6"/>
  <c r="V20" i="7"/>
  <c r="T20" i="7"/>
  <c r="X22" i="9"/>
  <c r="Y22" i="9" s="1"/>
  <c r="R20" i="9"/>
  <c r="Q19" i="9"/>
  <c r="X14" i="9"/>
  <c r="Y14" i="9" s="1"/>
  <c r="W6" i="6"/>
  <c r="X6" i="6" s="1"/>
  <c r="P18" i="6"/>
  <c r="P15" i="6"/>
  <c r="X36" i="9"/>
  <c r="Y36" i="9" s="1"/>
  <c r="V13" i="9"/>
  <c r="S20" i="9"/>
  <c r="X28" i="9"/>
  <c r="Y28" i="9" s="1"/>
  <c r="W9" i="6"/>
  <c r="X9" i="6" s="1"/>
  <c r="P16" i="6"/>
  <c r="P19" i="6"/>
  <c r="W12" i="6"/>
  <c r="X12" i="6" s="1"/>
  <c r="Q15" i="6"/>
  <c r="Q18" i="6"/>
  <c r="T19" i="7"/>
  <c r="X35" i="9"/>
  <c r="Y35" i="9" s="1"/>
  <c r="V12" i="9"/>
  <c r="U19" i="10"/>
  <c r="W27" i="6"/>
  <c r="X27" i="6" s="1"/>
  <c r="S16" i="6"/>
  <c r="S19" i="6"/>
  <c r="W15" i="6"/>
  <c r="X15" i="6" s="1"/>
  <c r="Q16" i="6"/>
  <c r="Q19" i="6"/>
  <c r="X34" i="9"/>
  <c r="Y34" i="9" s="1"/>
  <c r="V11" i="9"/>
  <c r="T20" i="9"/>
  <c r="X7" i="9"/>
  <c r="Y7" i="9" s="1"/>
  <c r="P19" i="9"/>
  <c r="X10" i="9"/>
  <c r="Y10" i="9" s="1"/>
  <c r="P20" i="9"/>
  <c r="Q19" i="10"/>
  <c r="W33" i="6"/>
  <c r="X33" i="6" s="1"/>
  <c r="T16" i="6"/>
  <c r="T19" i="6"/>
  <c r="W18" i="6"/>
  <c r="X18" i="6" s="1"/>
  <c r="R15" i="6"/>
  <c r="R18" i="6"/>
  <c r="U19" i="7"/>
  <c r="S19" i="7"/>
  <c r="T19" i="9"/>
  <c r="X33" i="9"/>
  <c r="Y33" i="9" s="1"/>
  <c r="V10" i="9"/>
  <c r="T19" i="10"/>
  <c r="S20" i="10"/>
  <c r="R16" i="10"/>
  <c r="Q20" i="10"/>
  <c r="T21" i="11"/>
  <c r="T18" i="11"/>
  <c r="R19" i="7"/>
  <c r="AM7" i="12"/>
  <c r="AL13" i="12"/>
  <c r="AM8" i="12"/>
  <c r="AC31" i="12"/>
  <c r="AL14" i="12"/>
  <c r="AL8" i="12"/>
  <c r="AM13" i="12"/>
  <c r="AC30" i="12"/>
  <c r="AL7" i="12"/>
  <c r="U20" i="10"/>
  <c r="T20" i="10"/>
  <c r="R20" i="10"/>
  <c r="S19" i="9"/>
  <c r="Q17" i="10"/>
  <c r="S17" i="10"/>
  <c r="U17" i="10"/>
  <c r="R19" i="10"/>
  <c r="Q16" i="10"/>
  <c r="S16" i="10"/>
  <c r="U16" i="10"/>
  <c r="R17" i="10"/>
  <c r="T17" i="10"/>
  <c r="P16" i="9"/>
  <c r="R16" i="9"/>
  <c r="T16" i="9"/>
  <c r="Q17" i="9"/>
  <c r="S17" i="9"/>
  <c r="Q16" i="9"/>
  <c r="S16" i="9"/>
  <c r="P17" i="9"/>
  <c r="R17" i="9"/>
  <c r="T17" i="9"/>
  <c r="R16" i="7"/>
  <c r="T16" i="7"/>
  <c r="V16" i="7"/>
  <c r="S17" i="7"/>
  <c r="U17" i="7"/>
  <c r="S16" i="7"/>
  <c r="U16" i="7"/>
  <c r="T17" i="7"/>
  <c r="V17" i="7"/>
  <c r="O9" i="11"/>
  <c r="O6" i="11"/>
  <c r="O13" i="11"/>
  <c r="V9" i="11" s="1"/>
  <c r="O15" i="11"/>
  <c r="O10" i="11"/>
  <c r="O8" i="11"/>
  <c r="T9" i="11" s="1"/>
  <c r="O14" i="11"/>
  <c r="W9" i="11" s="1"/>
  <c r="O12" i="11"/>
  <c r="U9" i="11" s="1"/>
  <c r="U20" i="11" l="1"/>
  <c r="U17" i="11"/>
  <c r="V14" i="9"/>
  <c r="W17" i="11"/>
  <c r="W20" i="11"/>
  <c r="V17" i="11"/>
  <c r="V20" i="11"/>
  <c r="S27" i="11"/>
  <c r="X9" i="11"/>
  <c r="T17" i="11"/>
  <c r="T20" i="11"/>
  <c r="E9" i="4"/>
  <c r="I23" i="4"/>
  <c r="G54" i="4" s="1"/>
  <c r="H23" i="4"/>
  <c r="G53" i="4" s="1"/>
  <c r="G23" i="4"/>
  <c r="G52" i="4" s="1"/>
  <c r="I22" i="4"/>
  <c r="G51" i="4" s="1"/>
  <c r="H22" i="4"/>
  <c r="G50" i="4" s="1"/>
  <c r="G22" i="4"/>
  <c r="G49" i="4" s="1"/>
  <c r="I21" i="4"/>
  <c r="G48" i="4" s="1"/>
  <c r="H21" i="4"/>
  <c r="G47" i="4" s="1"/>
  <c r="G21" i="4"/>
  <c r="G46" i="4" s="1"/>
  <c r="I20" i="4"/>
  <c r="G45" i="4" s="1"/>
  <c r="H20" i="4"/>
  <c r="G44" i="4" s="1"/>
  <c r="G20" i="4"/>
  <c r="G43" i="4" s="1"/>
  <c r="I19" i="4"/>
  <c r="G42" i="4" s="1"/>
  <c r="H19" i="4"/>
  <c r="G41" i="4" s="1"/>
  <c r="G19" i="4"/>
  <c r="I18" i="4"/>
  <c r="G39" i="4" s="1"/>
  <c r="H18" i="4"/>
  <c r="G38" i="4" s="1"/>
  <c r="G18" i="4"/>
  <c r="G37" i="4" s="1"/>
  <c r="I17" i="4"/>
  <c r="G36" i="4" s="1"/>
  <c r="H17" i="4"/>
  <c r="G35" i="4" s="1"/>
  <c r="G17" i="4"/>
  <c r="G34" i="4" s="1"/>
  <c r="I16" i="4"/>
  <c r="G33" i="4" s="1"/>
  <c r="H16" i="4"/>
  <c r="G32" i="4" s="1"/>
  <c r="G16" i="4"/>
  <c r="G31" i="4" s="1"/>
  <c r="I15" i="4"/>
  <c r="H15" i="4"/>
  <c r="G15" i="4"/>
  <c r="I14" i="4"/>
  <c r="H14" i="4"/>
  <c r="G14" i="4"/>
  <c r="E8" i="4"/>
  <c r="E7" i="4"/>
  <c r="E6" i="4"/>
  <c r="E5" i="4"/>
  <c r="E4" i="4"/>
  <c r="L41" i="4" l="1"/>
  <c r="L37" i="4"/>
  <c r="G30" i="4"/>
  <c r="J37" i="4"/>
  <c r="J41" i="4"/>
  <c r="G28" i="4"/>
  <c r="K19" i="4"/>
  <c r="Q18" i="4" s="1"/>
  <c r="G40" i="4"/>
  <c r="K36" i="4"/>
  <c r="K40" i="4"/>
  <c r="G26" i="4"/>
  <c r="L40" i="4"/>
  <c r="L36" i="4"/>
  <c r="G27" i="4"/>
  <c r="J36" i="4"/>
  <c r="J40" i="4"/>
  <c r="G25" i="4"/>
  <c r="K41" i="4"/>
  <c r="K37" i="4"/>
  <c r="G29" i="4"/>
  <c r="X17" i="11"/>
  <c r="X20" i="11"/>
  <c r="K23" i="4"/>
  <c r="S18" i="4" s="1"/>
  <c r="K21" i="4"/>
  <c r="R18" i="4" s="1"/>
  <c r="K17" i="4"/>
  <c r="P18" i="4" s="1"/>
  <c r="J15" i="4"/>
  <c r="O15" i="4" s="1"/>
  <c r="J14" i="4"/>
  <c r="O14" i="4" s="1"/>
  <c r="J16" i="4"/>
  <c r="P14" i="4" s="1"/>
  <c r="J18" i="4"/>
  <c r="Q14" i="4" s="1"/>
  <c r="J20" i="4"/>
  <c r="R14" i="4" s="1"/>
  <c r="J22" i="4"/>
  <c r="S14" i="4" s="1"/>
  <c r="K14" i="4"/>
  <c r="O17" i="4" s="1"/>
  <c r="K15" i="4"/>
  <c r="O18" i="4" s="1"/>
  <c r="K16" i="4"/>
  <c r="P17" i="4" s="1"/>
  <c r="J17" i="4"/>
  <c r="P15" i="4" s="1"/>
  <c r="K18" i="4"/>
  <c r="Q17" i="4" s="1"/>
  <c r="J19" i="4"/>
  <c r="Q15" i="4" s="1"/>
  <c r="K20" i="4"/>
  <c r="R17" i="4" s="1"/>
  <c r="J21" i="4"/>
  <c r="R15" i="4" s="1"/>
  <c r="K22" i="4"/>
  <c r="S17" i="4" s="1"/>
  <c r="J23" i="4"/>
  <c r="S15" i="4" s="1"/>
  <c r="K17" i="1"/>
  <c r="P18" i="1" s="1"/>
  <c r="K21" i="1"/>
  <c r="R18" i="1" s="1"/>
  <c r="G15" i="1"/>
  <c r="H15" i="1"/>
  <c r="K15" i="1" s="1"/>
  <c r="O18" i="1" s="1"/>
  <c r="I15" i="1"/>
  <c r="G16" i="1"/>
  <c r="G33" i="1" s="1"/>
  <c r="H16" i="1"/>
  <c r="G34" i="1" s="1"/>
  <c r="I16" i="1"/>
  <c r="G35" i="1" s="1"/>
  <c r="G17" i="1"/>
  <c r="G36" i="1" s="1"/>
  <c r="H17" i="1"/>
  <c r="G37" i="1" s="1"/>
  <c r="I17" i="1"/>
  <c r="G38" i="1" s="1"/>
  <c r="G18" i="1"/>
  <c r="G39" i="1" s="1"/>
  <c r="H18" i="1"/>
  <c r="G40" i="1" s="1"/>
  <c r="I18" i="1"/>
  <c r="G41" i="1" s="1"/>
  <c r="G19" i="1"/>
  <c r="G42" i="1" s="1"/>
  <c r="H19" i="1"/>
  <c r="G43" i="1" s="1"/>
  <c r="I19" i="1"/>
  <c r="G44" i="1" s="1"/>
  <c r="G20" i="1"/>
  <c r="G45" i="1" s="1"/>
  <c r="H20" i="1"/>
  <c r="G46" i="1" s="1"/>
  <c r="I20" i="1"/>
  <c r="G47" i="1" s="1"/>
  <c r="G21" i="1"/>
  <c r="G48" i="1" s="1"/>
  <c r="H21" i="1"/>
  <c r="G49" i="1" s="1"/>
  <c r="I21" i="1"/>
  <c r="G50" i="1" s="1"/>
  <c r="G22" i="1"/>
  <c r="G51" i="1" s="1"/>
  <c r="H22" i="1"/>
  <c r="G52" i="1" s="1"/>
  <c r="I22" i="1"/>
  <c r="G53" i="1" s="1"/>
  <c r="G23" i="1"/>
  <c r="G54" i="1" s="1"/>
  <c r="H23" i="1"/>
  <c r="G55" i="1" s="1"/>
  <c r="I23" i="1"/>
  <c r="G56" i="1" s="1"/>
  <c r="H14" i="1"/>
  <c r="I14" i="1"/>
  <c r="G14" i="1"/>
  <c r="E5" i="1"/>
  <c r="E6" i="1"/>
  <c r="E7" i="1"/>
  <c r="E8" i="1"/>
  <c r="E9" i="1"/>
  <c r="E4" i="1"/>
  <c r="J37" i="1" l="1"/>
  <c r="G27" i="1"/>
  <c r="K19" i="1"/>
  <c r="Q18" i="1" s="1"/>
  <c r="J38" i="1"/>
  <c r="G30" i="1"/>
  <c r="J23" i="1"/>
  <c r="S15" i="1" s="1"/>
  <c r="J19" i="1"/>
  <c r="Q15" i="1" s="1"/>
  <c r="J15" i="1"/>
  <c r="O15" i="1" s="1"/>
  <c r="K37" i="1"/>
  <c r="G28" i="1"/>
  <c r="J14" i="1"/>
  <c r="O14" i="1" s="1"/>
  <c r="K22" i="1"/>
  <c r="S17" i="1" s="1"/>
  <c r="K20" i="1"/>
  <c r="R17" i="1" s="1"/>
  <c r="K18" i="1"/>
  <c r="Q17" i="1" s="1"/>
  <c r="K16" i="1"/>
  <c r="P17" i="1" s="1"/>
  <c r="L44" i="4"/>
  <c r="M40" i="4"/>
  <c r="N40" i="4"/>
  <c r="K38" i="1"/>
  <c r="G31" i="1"/>
  <c r="K23" i="1"/>
  <c r="S18" i="1" s="1"/>
  <c r="M37" i="4"/>
  <c r="N37" i="4"/>
  <c r="L37" i="1"/>
  <c r="G29" i="1"/>
  <c r="J21" i="1"/>
  <c r="R15" i="1" s="1"/>
  <c r="J17" i="1"/>
  <c r="P15" i="1" s="1"/>
  <c r="L38" i="1"/>
  <c r="G32" i="1"/>
  <c r="K14" i="1"/>
  <c r="O17" i="1" s="1"/>
  <c r="J22" i="1"/>
  <c r="S14" i="1" s="1"/>
  <c r="J20" i="1"/>
  <c r="R14" i="1" s="1"/>
  <c r="J18" i="1"/>
  <c r="Q14" i="1" s="1"/>
  <c r="J16" i="1"/>
  <c r="P14" i="1" s="1"/>
  <c r="N36" i="4"/>
  <c r="L43" i="4"/>
  <c r="M36" i="4"/>
  <c r="M41" i="4"/>
  <c r="N41" i="4"/>
  <c r="N38" i="1" l="1"/>
  <c r="M38" i="1"/>
  <c r="M37" i="1"/>
  <c r="N37" i="1"/>
  <c r="L40" i="1"/>
</calcChain>
</file>

<file path=xl/sharedStrings.xml><?xml version="1.0" encoding="utf-8"?>
<sst xmlns="http://schemas.openxmlformats.org/spreadsheetml/2006/main" count="1681" uniqueCount="433">
  <si>
    <t>Ammonium Station 1</t>
  </si>
  <si>
    <t>slope</t>
  </si>
  <si>
    <t>y-int</t>
  </si>
  <si>
    <t>t0</t>
  </si>
  <si>
    <t>t1</t>
  </si>
  <si>
    <t>t2</t>
  </si>
  <si>
    <t>t3</t>
  </si>
  <si>
    <t>t4</t>
  </si>
  <si>
    <t>a</t>
  </si>
  <si>
    <t>b</t>
  </si>
  <si>
    <t>c</t>
  </si>
  <si>
    <t>average</t>
  </si>
  <si>
    <t>stdev</t>
  </si>
  <si>
    <t>SW+Lys</t>
  </si>
  <si>
    <t>SW</t>
  </si>
  <si>
    <t>Information</t>
  </si>
  <si>
    <t>Station 1</t>
  </si>
  <si>
    <t>Saanich Inlet</t>
  </si>
  <si>
    <t>Location:</t>
  </si>
  <si>
    <t>Water on deck:</t>
  </si>
  <si>
    <t>7am</t>
  </si>
  <si>
    <t>Start of station:</t>
  </si>
  <si>
    <t>8am</t>
  </si>
  <si>
    <t>Exact location:</t>
  </si>
  <si>
    <t>48o35.470N, 123o30.262W</t>
  </si>
  <si>
    <t>Depth:</t>
  </si>
  <si>
    <t>Cast:</t>
  </si>
  <si>
    <t>Bottle:</t>
  </si>
  <si>
    <t>5 and 6</t>
  </si>
  <si>
    <t>Half 8m, half 7m (chl max)</t>
  </si>
  <si>
    <t>Notes:</t>
  </si>
  <si>
    <t>Took ~1.5L of UF from integrated VC for PON rinsing</t>
  </si>
  <si>
    <t>Used 118um nitex to filter 3L water</t>
  </si>
  <si>
    <t>500ml in each whirlpak</t>
  </si>
  <si>
    <t>20ml of Lys A into each treatment 1 whirlpak</t>
  </si>
  <si>
    <t>Samplings:</t>
  </si>
  <si>
    <t>T0</t>
  </si>
  <si>
    <t>T1</t>
  </si>
  <si>
    <t>T2</t>
  </si>
  <si>
    <t>T3</t>
  </si>
  <si>
    <t>T4</t>
  </si>
  <si>
    <t>10:15am</t>
  </si>
  <si>
    <t>4:30pm</t>
  </si>
  <si>
    <t>9:15pm</t>
  </si>
  <si>
    <t>7:15am</t>
  </si>
  <si>
    <t>6:15pm</t>
  </si>
  <si>
    <t>Station 2</t>
  </si>
  <si>
    <t>Fraser River Plume</t>
  </si>
  <si>
    <t>49o04.274N, 123o24.069W</t>
  </si>
  <si>
    <t>3pm</t>
  </si>
  <si>
    <t>4pm</t>
  </si>
  <si>
    <t>Half 6m, half 5m (chl max)</t>
  </si>
  <si>
    <t>6 and 7</t>
  </si>
  <si>
    <t>Took ~1L of UF from integrated VC for PON rinsing</t>
  </si>
  <si>
    <t>5:45pm</t>
  </si>
  <si>
    <t>1:30pm</t>
  </si>
  <si>
    <t>8:45pm</t>
  </si>
  <si>
    <t>PON:</t>
  </si>
  <si>
    <t>7:15pm 14-Sep-12</t>
  </si>
  <si>
    <t>Lugol's at this time (25ml in large falcon tube)</t>
  </si>
  <si>
    <t>Regular GFF filtering = 100ml each whirlpak (pushed through syringe)</t>
  </si>
  <si>
    <t>For treatment 1:</t>
  </si>
  <si>
    <t>Ammonium Station 2</t>
  </si>
  <si>
    <t>sens. 30</t>
  </si>
  <si>
    <t>File name</t>
  </si>
  <si>
    <t>Sample ID</t>
  </si>
  <si>
    <t>Dilution factor</t>
  </si>
  <si>
    <t>Acquisition time (min)</t>
  </si>
  <si>
    <t>Sample volume (µl)</t>
  </si>
  <si>
    <t>SYBR Green (µl)</t>
  </si>
  <si>
    <t>Total volume (µl)</t>
  </si>
  <si>
    <t>Flow mode</t>
  </si>
  <si>
    <r>
      <t>Flow rate (µl min</t>
    </r>
    <r>
      <rPr>
        <b/>
        <vertAlign val="superscript"/>
        <sz val="10"/>
        <color indexed="0"/>
        <rFont val="Helvetica Neue"/>
      </rPr>
      <t>-1</t>
    </r>
    <r>
      <rPr>
        <b/>
        <sz val="10"/>
        <color indexed="0"/>
        <rFont val="Helvetica Neue"/>
      </rPr>
      <t>)</t>
    </r>
  </si>
  <si>
    <t>HNA (events)</t>
  </si>
  <si>
    <t>HNA (105 ml-1)</t>
  </si>
  <si>
    <t>Med</t>
  </si>
  <si>
    <t>bac.012</t>
  </si>
  <si>
    <t>SOG12-1 1a t0</t>
  </si>
  <si>
    <t>bac.013</t>
  </si>
  <si>
    <t>SOG12-1 1b t0</t>
  </si>
  <si>
    <t>bac.014</t>
  </si>
  <si>
    <t>SOG12-1 1c t0</t>
  </si>
  <si>
    <t>bac.015</t>
  </si>
  <si>
    <t>SOG12-1 2a t0</t>
  </si>
  <si>
    <t>bac.016</t>
  </si>
  <si>
    <t>SOG12-1 2b t0</t>
  </si>
  <si>
    <t>bac.017</t>
  </si>
  <si>
    <t>SOG12-1 2c t0</t>
  </si>
  <si>
    <t>bac.028</t>
  </si>
  <si>
    <t>SOG12-1 1a t1</t>
  </si>
  <si>
    <t>bac.029</t>
  </si>
  <si>
    <t>SOG12-1 1b t1</t>
  </si>
  <si>
    <t>bac.030</t>
  </si>
  <si>
    <t>SOG12-1 1c t1</t>
  </si>
  <si>
    <t>bac.031</t>
  </si>
  <si>
    <t>SOG12-1 2a t1</t>
  </si>
  <si>
    <t>bac.032</t>
  </si>
  <si>
    <t>SOG12-1 2b t1</t>
  </si>
  <si>
    <t>bac.033</t>
  </si>
  <si>
    <t>SOG12-1 2c t1</t>
  </si>
  <si>
    <t>bac.044</t>
  </si>
  <si>
    <t>SOG12-1 1a t2</t>
  </si>
  <si>
    <t>bac.045</t>
  </si>
  <si>
    <t>SOG12-1 1b t2</t>
  </si>
  <si>
    <t>bac.046</t>
  </si>
  <si>
    <t>SOG12-1 1c t2</t>
  </si>
  <si>
    <t>bac.047</t>
  </si>
  <si>
    <t>SOG12-1 2a t2</t>
  </si>
  <si>
    <t>bac.048</t>
  </si>
  <si>
    <t>SOG12-1 2b t2</t>
  </si>
  <si>
    <t>bac.049</t>
  </si>
  <si>
    <t>SOG12-1 2c t2</t>
  </si>
  <si>
    <t>bac.059</t>
  </si>
  <si>
    <t>SOG12-1 1a t3</t>
  </si>
  <si>
    <t>bac.060</t>
  </si>
  <si>
    <t>SOG12-1 1b t3</t>
  </si>
  <si>
    <t>bac.061</t>
  </si>
  <si>
    <t>SOG12-1 1c t3</t>
  </si>
  <si>
    <t>bac.062</t>
  </si>
  <si>
    <t>SOG12-1 2a t3</t>
  </si>
  <si>
    <t>bac.063</t>
  </si>
  <si>
    <t>SOG12-1 2b t3</t>
  </si>
  <si>
    <t>bac.064</t>
  </si>
  <si>
    <t>SOG12-1 2c t3</t>
  </si>
  <si>
    <t>bac.079</t>
  </si>
  <si>
    <t>SOG12-1 1a t4</t>
  </si>
  <si>
    <t>bac.080</t>
  </si>
  <si>
    <t>bac.081</t>
  </si>
  <si>
    <t>SOG12-1 1b t4</t>
  </si>
  <si>
    <t>bac.082</t>
  </si>
  <si>
    <t>SOG12-1 1c t4</t>
  </si>
  <si>
    <t>bac.083</t>
  </si>
  <si>
    <t>SOG12-1 2a t4</t>
  </si>
  <si>
    <t>bac.084</t>
  </si>
  <si>
    <t>SOG12-1 2b t4</t>
  </si>
  <si>
    <t>bac.085</t>
  </si>
  <si>
    <t>SOG12-1 2c t4</t>
  </si>
  <si>
    <t>TE 1</t>
  </si>
  <si>
    <t>vir.001</t>
  </si>
  <si>
    <t>vir.002</t>
  </si>
  <si>
    <t>TE 2</t>
  </si>
  <si>
    <t>vir.003</t>
  </si>
  <si>
    <t>TE 3</t>
  </si>
  <si>
    <t>vir.004</t>
  </si>
  <si>
    <t>TE 4</t>
  </si>
  <si>
    <t>vir.005</t>
  </si>
  <si>
    <t>vir.006</t>
  </si>
  <si>
    <t>vir.007</t>
  </si>
  <si>
    <t>vir.008</t>
  </si>
  <si>
    <t>vir.009</t>
  </si>
  <si>
    <t>vir.010</t>
  </si>
  <si>
    <t>vir.011</t>
  </si>
  <si>
    <t>vir.018</t>
  </si>
  <si>
    <t>vir.019</t>
  </si>
  <si>
    <t>vir.020</t>
  </si>
  <si>
    <t>vir.021</t>
  </si>
  <si>
    <t>vir.022</t>
  </si>
  <si>
    <t>vir.023</t>
  </si>
  <si>
    <t>vir.024</t>
  </si>
  <si>
    <t>vir.025</t>
  </si>
  <si>
    <t>vir.026</t>
  </si>
  <si>
    <t>vir.027</t>
  </si>
  <si>
    <t>vir.034</t>
  </si>
  <si>
    <t>vir.035</t>
  </si>
  <si>
    <t>vir.036</t>
  </si>
  <si>
    <t>vir.037</t>
  </si>
  <si>
    <t>vir.038</t>
  </si>
  <si>
    <t>vir.039</t>
  </si>
  <si>
    <t>vir.040</t>
  </si>
  <si>
    <t>vir.041</t>
  </si>
  <si>
    <t>vir.042</t>
  </si>
  <si>
    <t>vir.043</t>
  </si>
  <si>
    <t>vir.050</t>
  </si>
  <si>
    <t>vir.051</t>
  </si>
  <si>
    <t>vir.052</t>
  </si>
  <si>
    <t>vir.053</t>
  </si>
  <si>
    <t>vir.054</t>
  </si>
  <si>
    <t>vir.055</t>
  </si>
  <si>
    <t>vir.056</t>
  </si>
  <si>
    <t>vir.057</t>
  </si>
  <si>
    <t>vir.058</t>
  </si>
  <si>
    <t>vir.065</t>
  </si>
  <si>
    <t>vir.066</t>
  </si>
  <si>
    <t>vir.069</t>
  </si>
  <si>
    <t>vir.070</t>
  </si>
  <si>
    <t>vir.071</t>
  </si>
  <si>
    <t>vir.072</t>
  </si>
  <si>
    <t>vir.073</t>
  </si>
  <si>
    <t>vir.074</t>
  </si>
  <si>
    <t>vir.075</t>
  </si>
  <si>
    <t>vir.076</t>
  </si>
  <si>
    <t>vir.077</t>
  </si>
  <si>
    <t>vir.078</t>
  </si>
  <si>
    <t>Blanks</t>
  </si>
  <si>
    <t>SOG12-2 1a t0</t>
  </si>
  <si>
    <t>bac.018</t>
  </si>
  <si>
    <t>SOG12-2 1b t0</t>
  </si>
  <si>
    <t>bac.019</t>
  </si>
  <si>
    <t>SOG12-2 1c t0</t>
  </si>
  <si>
    <t>bac.020</t>
  </si>
  <si>
    <t>SOG12-2 2a t0</t>
  </si>
  <si>
    <t>bac.021</t>
  </si>
  <si>
    <t>SOG12-2 2b t0</t>
  </si>
  <si>
    <t>bac.022</t>
  </si>
  <si>
    <t>SOG12-2 2c t0</t>
  </si>
  <si>
    <t>bac.023</t>
  </si>
  <si>
    <t>SOG12-2 1a t1</t>
  </si>
  <si>
    <t>bac.024</t>
  </si>
  <si>
    <t>SOG12-2 1b t1</t>
  </si>
  <si>
    <t>bac.025</t>
  </si>
  <si>
    <t>SOG12-2 1c t1</t>
  </si>
  <si>
    <t>bac.026</t>
  </si>
  <si>
    <t>SOG12-2 2a t1</t>
  </si>
  <si>
    <t>bac.027</t>
  </si>
  <si>
    <t>SOG12-2 2b t1</t>
  </si>
  <si>
    <t>SOG12-2 2c t1</t>
  </si>
  <si>
    <t>SOG12-2 1a t2</t>
  </si>
  <si>
    <t>SOG12-2 1b t2</t>
  </si>
  <si>
    <t>SOG12-2 1c t2</t>
  </si>
  <si>
    <t>SOG12-2 2a t2</t>
  </si>
  <si>
    <t>SOG12-2 2b t2</t>
  </si>
  <si>
    <t>bac.050</t>
  </si>
  <si>
    <t>SOG12-2 2c t2</t>
  </si>
  <si>
    <t>bac.051</t>
  </si>
  <si>
    <t>SOG12-2 1a t3</t>
  </si>
  <si>
    <t>bac.052</t>
  </si>
  <si>
    <t>SOG12-2 1b t3</t>
  </si>
  <si>
    <t>bac.053</t>
  </si>
  <si>
    <t>SOG12-2 1c t3</t>
  </si>
  <si>
    <t>bac.054</t>
  </si>
  <si>
    <t>SOG12-2 2a t3</t>
  </si>
  <si>
    <t>bac.055</t>
  </si>
  <si>
    <t>SOG12-2 2b t3</t>
  </si>
  <si>
    <t>bac.056</t>
  </si>
  <si>
    <t>SOG12-2 2c t3</t>
  </si>
  <si>
    <t>bac.067</t>
  </si>
  <si>
    <t>SOG12-2 1a t4</t>
  </si>
  <si>
    <t>bac.068</t>
  </si>
  <si>
    <t>SOG12-2 1b t4</t>
  </si>
  <si>
    <t>bac.069</t>
  </si>
  <si>
    <t>SOG12-2 1c t4</t>
  </si>
  <si>
    <t>bac.070</t>
  </si>
  <si>
    <t>SOG12-2 2a t4</t>
  </si>
  <si>
    <t>bac.071</t>
  </si>
  <si>
    <t>SOG12-2 2b t4</t>
  </si>
  <si>
    <t>bac.072</t>
  </si>
  <si>
    <t>SOG12-2 2c t4</t>
  </si>
  <si>
    <t>vir.012</t>
  </si>
  <si>
    <t>vir.013</t>
  </si>
  <si>
    <t>vir.014</t>
  </si>
  <si>
    <t>vir.015</t>
  </si>
  <si>
    <t>vir.016</t>
  </si>
  <si>
    <t>vir.029</t>
  </si>
  <si>
    <t>vir.030</t>
  </si>
  <si>
    <t>vir.031</t>
  </si>
  <si>
    <t>vir.032</t>
  </si>
  <si>
    <t>vir.033</t>
  </si>
  <si>
    <t>vir.044</t>
  </si>
  <si>
    <t>vir.059</t>
  </si>
  <si>
    <t>vir.060</t>
  </si>
  <si>
    <t>vir.061</t>
  </si>
  <si>
    <t>vir.062</t>
  </si>
  <si>
    <t>vir.063</t>
  </si>
  <si>
    <t>vir.064</t>
  </si>
  <si>
    <t>pp.074</t>
  </si>
  <si>
    <t>SOG12-12 2c t2</t>
  </si>
  <si>
    <t>pp.075</t>
  </si>
  <si>
    <t>pp.076</t>
  </si>
  <si>
    <t>pp.077</t>
  </si>
  <si>
    <t>pp.080</t>
  </si>
  <si>
    <t>pp.081</t>
  </si>
  <si>
    <t>pp.082</t>
  </si>
  <si>
    <t>pp.086</t>
  </si>
  <si>
    <t>pp.088</t>
  </si>
  <si>
    <t>pp.090</t>
  </si>
  <si>
    <t>High</t>
  </si>
  <si>
    <t>R1 (103/ml)</t>
  </si>
  <si>
    <t>R2 (103/ml)</t>
  </si>
  <si>
    <t>R3 (103/ml)</t>
  </si>
  <si>
    <t>R4 (103/ml)</t>
  </si>
  <si>
    <t>HNA (103/ml)</t>
  </si>
  <si>
    <t>1a</t>
  </si>
  <si>
    <t>1b</t>
  </si>
  <si>
    <t>1c</t>
  </si>
  <si>
    <t>2b</t>
  </si>
  <si>
    <t>2c</t>
  </si>
  <si>
    <t>2a</t>
  </si>
  <si>
    <t>ave</t>
  </si>
  <si>
    <t>HNA (106 ml-1)</t>
  </si>
  <si>
    <t>1at0</t>
  </si>
  <si>
    <t>1bt0</t>
  </si>
  <si>
    <t>Stn 1</t>
  </si>
  <si>
    <t>1ct0</t>
  </si>
  <si>
    <t>2at0</t>
  </si>
  <si>
    <t>2bt0</t>
  </si>
  <si>
    <t>2ct0</t>
  </si>
  <si>
    <t>1at4</t>
  </si>
  <si>
    <t>1bt4</t>
  </si>
  <si>
    <t>1ct4</t>
  </si>
  <si>
    <t>Stn 2</t>
  </si>
  <si>
    <t>2at4</t>
  </si>
  <si>
    <t>2bt4</t>
  </si>
  <si>
    <t>2ct4</t>
  </si>
  <si>
    <t>blank filter</t>
  </si>
  <si>
    <t>blank acetone</t>
  </si>
  <si>
    <t>CHNJ SW (118um) 2Aug12</t>
  </si>
  <si>
    <t>pp.001</t>
  </si>
  <si>
    <t>pp.002</t>
  </si>
  <si>
    <t>pp.003</t>
  </si>
  <si>
    <t>pp.004</t>
  </si>
  <si>
    <t>pp.005</t>
  </si>
  <si>
    <t>pp.006</t>
  </si>
  <si>
    <t>pp.007</t>
  </si>
  <si>
    <t>pp.008</t>
  </si>
  <si>
    <t>pp.009</t>
  </si>
  <si>
    <t>pp.010</t>
  </si>
  <si>
    <t>pp.011</t>
  </si>
  <si>
    <t>pp.012</t>
  </si>
  <si>
    <t>pp.013</t>
  </si>
  <si>
    <t>pp.014</t>
  </si>
  <si>
    <t>pp.015</t>
  </si>
  <si>
    <t>pp.016</t>
  </si>
  <si>
    <t>pp.017</t>
  </si>
  <si>
    <t>pp.018</t>
  </si>
  <si>
    <t>pp.019</t>
  </si>
  <si>
    <t>pp.020</t>
  </si>
  <si>
    <t>pp.021</t>
  </si>
  <si>
    <t>pp.022</t>
  </si>
  <si>
    <t>pp.023</t>
  </si>
  <si>
    <t>pp.024</t>
  </si>
  <si>
    <t>pp.025</t>
  </si>
  <si>
    <t>SOG12-1 1a post dil</t>
  </si>
  <si>
    <t>SOG12-1 1b post dil</t>
  </si>
  <si>
    <t>SOG12-1 1c post dil</t>
  </si>
  <si>
    <t>R1 (cyanos)</t>
  </si>
  <si>
    <t>R2 (to right of R1)</t>
  </si>
  <si>
    <t>R3 (above R1)</t>
  </si>
  <si>
    <t>R4 (top large cloud)</t>
  </si>
  <si>
    <t>SW+Lys A</t>
  </si>
  <si>
    <t>SW+Lys B</t>
  </si>
  <si>
    <t>SW+Lys C</t>
  </si>
  <si>
    <t>SW A</t>
  </si>
  <si>
    <t>SW B</t>
  </si>
  <si>
    <t>SW C</t>
  </si>
  <si>
    <t>T=end</t>
  </si>
  <si>
    <t>T=0</t>
  </si>
  <si>
    <t>Separating the replicates</t>
  </si>
  <si>
    <t>ug/L Chla</t>
  </si>
  <si>
    <t>Phaeopigments</t>
  </si>
  <si>
    <t>t test between treatments</t>
  </si>
  <si>
    <t>diff at beg, but not end</t>
  </si>
  <si>
    <t>diff beg and end</t>
  </si>
  <si>
    <t>t test between times</t>
  </si>
  <si>
    <t>no diff</t>
  </si>
  <si>
    <t>8:50pm 14-Sep-12</t>
  </si>
  <si>
    <t>pp.028</t>
  </si>
  <si>
    <t>pp.029</t>
  </si>
  <si>
    <t>pp.030</t>
  </si>
  <si>
    <t>pp.031</t>
  </si>
  <si>
    <t>pp.032</t>
  </si>
  <si>
    <t>pp.033</t>
  </si>
  <si>
    <t>pp.078</t>
  </si>
  <si>
    <t>pp.079</t>
  </si>
  <si>
    <t>t tests</t>
  </si>
  <si>
    <t>37% form</t>
  </si>
  <si>
    <t>pp.026</t>
  </si>
  <si>
    <t>pp.027</t>
  </si>
  <si>
    <t>SOG12-2 1a post filt.</t>
  </si>
  <si>
    <t>SOG12-2 1b post filt.</t>
  </si>
  <si>
    <t>SOG12-2 1c post filt.</t>
  </si>
  <si>
    <t>pp.083</t>
  </si>
  <si>
    <t>pp.084</t>
  </si>
  <si>
    <t>pp.085</t>
  </si>
  <si>
    <t>pp.087</t>
  </si>
  <si>
    <t>pp.089</t>
  </si>
  <si>
    <t>C</t>
  </si>
  <si>
    <t>P</t>
  </si>
  <si>
    <t>R1</t>
  </si>
  <si>
    <t>R2</t>
  </si>
  <si>
    <t>R3</t>
  </si>
  <si>
    <t>R4</t>
  </si>
  <si>
    <t>t6-t0 difference</t>
  </si>
  <si>
    <t>fold decrease</t>
  </si>
  <si>
    <t>SL1</t>
  </si>
  <si>
    <t>SL2</t>
  </si>
  <si>
    <t>SL3</t>
  </si>
  <si>
    <t>S1</t>
  </si>
  <si>
    <t>S2</t>
  </si>
  <si>
    <t>S3</t>
  </si>
  <si>
    <t>Lys A Sept</t>
  </si>
  <si>
    <t>Lys B Sept</t>
  </si>
  <si>
    <t>CHNJ SW</t>
  </si>
  <si>
    <t>uM</t>
  </si>
  <si>
    <t>diluted 50%</t>
  </si>
  <si>
    <t>uM in incubation</t>
  </si>
  <si>
    <t>Pre-dil</t>
  </si>
  <si>
    <t>Post-dil</t>
  </si>
  <si>
    <t>Fold decrease</t>
  </si>
  <si>
    <t>LNA (events)</t>
  </si>
  <si>
    <t>bac.009</t>
  </si>
  <si>
    <t>PWH3a-P1 T=0 5Sept12 A</t>
  </si>
  <si>
    <t>bac.010</t>
  </si>
  <si>
    <t>bac.011</t>
  </si>
  <si>
    <t>PWH3a-P1 T=0 5Sept12 B</t>
  </si>
  <si>
    <t>PWH3a-P1 T=end 5Sept12 A</t>
  </si>
  <si>
    <t>PWH3a-P1 T=end 5Sept12 B</t>
  </si>
  <si>
    <t>PWH3a-P1 T=0 5Sept12</t>
  </si>
  <si>
    <t>Lys A</t>
  </si>
  <si>
    <t>Lys B</t>
  </si>
  <si>
    <t>Bac</t>
  </si>
  <si>
    <t>Vir</t>
  </si>
  <si>
    <t>Bac decrease</t>
  </si>
  <si>
    <t>Vir increase</t>
  </si>
  <si>
    <t>N released</t>
  </si>
  <si>
    <t xml:space="preserve"> /L</t>
  </si>
  <si>
    <t>MOI</t>
  </si>
  <si>
    <t>20ml lsyate in 500ml incubations</t>
  </si>
  <si>
    <t>uM N</t>
  </si>
  <si>
    <t>N in incubations</t>
  </si>
  <si>
    <t>Phosphate</t>
  </si>
  <si>
    <t>Nitrate</t>
  </si>
  <si>
    <t>SW+L</t>
  </si>
  <si>
    <t>Initial</t>
  </si>
  <si>
    <t>Final</t>
  </si>
  <si>
    <t>For R:</t>
  </si>
  <si>
    <t>Ave</t>
  </si>
  <si>
    <t>StDev</t>
  </si>
  <si>
    <t>B</t>
  </si>
  <si>
    <t>A</t>
  </si>
  <si>
    <t>Drawdown</t>
  </si>
  <si>
    <t>t0 to t4</t>
  </si>
  <si>
    <t>t0 to t3</t>
  </si>
  <si>
    <t>Data from lab book B6:106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</si>
</sst>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indexed="0"/>
      <name val="Helvetica Neue"/>
    </font>
    <font>
      <b/>
      <vertAlign val="superscript"/>
      <sz val="10"/>
      <color indexed="0"/>
      <name val="Helvetica Neue"/>
    </font>
    <font>
      <sz val="10"/>
      <color indexed="0"/>
      <name val="Helvetica Neue"/>
    </font>
    <font>
      <sz val="9"/>
      <name val="Geneva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6">
    <xf numFmtId="0" fontId="0" fillId="0" borderId="0"/>
    <xf numFmtId="0" fontId="6" fillId="0" borderId="0"/>
    <xf numFmtId="0" fontId="7" fillId="0" borderId="0"/>
    <xf numFmtId="0" fontId="9" fillId="0" borderId="0"/>
    <xf numFmtId="0" fontId="8" fillId="0" borderId="0"/>
    <xf numFmtId="0" fontId="6" fillId="0" borderId="0"/>
  </cellStyleXfs>
  <cellXfs count="27">
    <xf numFmtId="0" fontId="0" fillId="0" borderId="0" xfId="0"/>
    <xf numFmtId="15" fontId="0" fillId="0" borderId="0" xfId="0" applyNumberFormat="1"/>
    <xf numFmtId="0" fontId="1" fillId="0" borderId="0" xfId="0" applyFont="1"/>
    <xf numFmtId="0" fontId="2" fillId="0" borderId="0" xfId="0" applyFont="1"/>
    <xf numFmtId="0" fontId="3" fillId="2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/>
    </xf>
    <xf numFmtId="2" fontId="5" fillId="0" borderId="1" xfId="0" applyNumberFormat="1" applyFont="1" applyFill="1" applyBorder="1" applyAlignment="1">
      <alignment vertical="top"/>
    </xf>
    <xf numFmtId="0" fontId="5" fillId="0" borderId="0" xfId="0" applyNumberFormat="1" applyFont="1" applyFill="1" applyBorder="1" applyAlignment="1">
      <alignment vertical="top"/>
    </xf>
    <xf numFmtId="2" fontId="0" fillId="0" borderId="0" xfId="0" applyNumberFormat="1"/>
    <xf numFmtId="1" fontId="0" fillId="0" borderId="0" xfId="0" applyNumberFormat="1"/>
    <xf numFmtId="49" fontId="0" fillId="0" borderId="0" xfId="0" applyNumberFormat="1"/>
    <xf numFmtId="0" fontId="6" fillId="0" borderId="0" xfId="1"/>
    <xf numFmtId="0" fontId="6" fillId="0" borderId="0" xfId="1"/>
    <xf numFmtId="9" fontId="0" fillId="0" borderId="0" xfId="0" applyNumberFormat="1"/>
    <xf numFmtId="0" fontId="7" fillId="0" borderId="0" xfId="2"/>
    <xf numFmtId="0" fontId="6" fillId="0" borderId="0" xfId="1"/>
    <xf numFmtId="0" fontId="6" fillId="0" borderId="0" xfId="1"/>
    <xf numFmtId="0" fontId="6" fillId="0" borderId="0" xfId="1"/>
    <xf numFmtId="0" fontId="6" fillId="0" borderId="0" xfId="1"/>
    <xf numFmtId="0" fontId="6" fillId="0" borderId="0" xfId="1"/>
    <xf numFmtId="0" fontId="6" fillId="0" borderId="0" xfId="1"/>
    <xf numFmtId="0" fontId="6" fillId="0" borderId="0" xfId="1"/>
    <xf numFmtId="0" fontId="0" fillId="3" borderId="0" xfId="0" applyFill="1"/>
    <xf numFmtId="0" fontId="3" fillId="2" borderId="2" xfId="0" applyNumberFormat="1" applyFont="1" applyFill="1" applyBorder="1" applyAlignment="1">
      <alignment horizontal="center" vertical="top" wrapText="1"/>
    </xf>
    <xf numFmtId="11" fontId="0" fillId="0" borderId="0" xfId="0" applyNumberFormat="1"/>
    <xf numFmtId="0" fontId="0" fillId="0" borderId="0" xfId="0" applyNumberFormat="1"/>
    <xf numFmtId="164" fontId="0" fillId="0" borderId="0" xfId="0" applyNumberFormat="1"/>
  </cellXfs>
  <cellStyles count="6">
    <cellStyle name="Normal" xfId="0" builtinId="0"/>
    <cellStyle name="Normal 2" xfId="1" xr:uid="{00000000-0005-0000-0000-000001000000}"/>
    <cellStyle name="Normal 2 2" xfId="5" xr:uid="{00000000-0005-0000-0000-000033000000}"/>
    <cellStyle name="Normal 2 3" xfId="4" xr:uid="{00000000-0005-0000-0000-000032000000}"/>
    <cellStyle name="Normal 3" xfId="2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'1-NH4'!$A$4:$A$9</c:f>
              <c:numCache>
                <c:formatCode>General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</c:numCache>
            </c:numRef>
          </c:xVal>
          <c:yVal>
            <c:numRef>
              <c:f>'1-NH4'!$E$4:$E$9</c:f>
              <c:numCache>
                <c:formatCode>General</c:formatCode>
                <c:ptCount val="6"/>
                <c:pt idx="0">
                  <c:v>23.733333333333334</c:v>
                </c:pt>
                <c:pt idx="1">
                  <c:v>46.15</c:v>
                </c:pt>
                <c:pt idx="2">
                  <c:v>73</c:v>
                </c:pt>
                <c:pt idx="3">
                  <c:v>137.94999999999999</c:v>
                </c:pt>
                <c:pt idx="4">
                  <c:v>249.2</c:v>
                </c:pt>
                <c:pt idx="5">
                  <c:v>560.1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DE-4F9A-B26B-F989AB1A4C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26592"/>
        <c:axId val="139328128"/>
      </c:scatterChart>
      <c:valAx>
        <c:axId val="13932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328128"/>
        <c:crosses val="autoZero"/>
        <c:crossBetween val="midCat"/>
      </c:valAx>
      <c:valAx>
        <c:axId val="139328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39326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'2-Vir'!$P$16</c:f>
              <c:strCache>
                <c:ptCount val="1"/>
                <c:pt idx="0">
                  <c:v>SW+Lys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'2-Vir'!$Q$19:$U$19</c:f>
                <c:numCache>
                  <c:formatCode>General</c:formatCode>
                  <c:ptCount val="5"/>
                  <c:pt idx="0">
                    <c:v>6.4358479650235534</c:v>
                  </c:pt>
                  <c:pt idx="1">
                    <c:v>53.751030884052362</c:v>
                  </c:pt>
                  <c:pt idx="2">
                    <c:v>81.099081702280245</c:v>
                  </c:pt>
                  <c:pt idx="3">
                    <c:v>32.797357804698031</c:v>
                  </c:pt>
                  <c:pt idx="4">
                    <c:v>18.233525422972299</c:v>
                  </c:pt>
                </c:numCache>
              </c:numRef>
            </c:plus>
            <c:minus>
              <c:numRef>
                <c:f>'2-Vir'!$Q$19:$U$19</c:f>
                <c:numCache>
                  <c:formatCode>General</c:formatCode>
                  <c:ptCount val="5"/>
                  <c:pt idx="0">
                    <c:v>6.4358479650235534</c:v>
                  </c:pt>
                  <c:pt idx="1">
                    <c:v>53.751030884052362</c:v>
                  </c:pt>
                  <c:pt idx="2">
                    <c:v>81.099081702280245</c:v>
                  </c:pt>
                  <c:pt idx="3">
                    <c:v>32.797357804698031</c:v>
                  </c:pt>
                  <c:pt idx="4">
                    <c:v>18.233525422972299</c:v>
                  </c:pt>
                </c:numCache>
              </c:numRef>
            </c:minus>
          </c:errBars>
          <c:xVal>
            <c:numRef>
              <c:f>'2-Vir'!$Q$15:$U$15</c:f>
              <c:numCache>
                <c:formatCode>0.00</c:formatCode>
                <c:ptCount val="5"/>
                <c:pt idx="0" formatCode="0">
                  <c:v>0</c:v>
                </c:pt>
                <c:pt idx="1">
                  <c:v>3.5</c:v>
                </c:pt>
                <c:pt idx="2" formatCode="0">
                  <c:v>13.5</c:v>
                </c:pt>
                <c:pt idx="3" formatCode="0">
                  <c:v>19.75</c:v>
                </c:pt>
                <c:pt idx="4" formatCode="0">
                  <c:v>27</c:v>
                </c:pt>
              </c:numCache>
            </c:numRef>
          </c:xVal>
          <c:yVal>
            <c:numRef>
              <c:f>'2-Vir'!$Q$16:$U$16</c:f>
              <c:numCache>
                <c:formatCode>0.00</c:formatCode>
                <c:ptCount val="5"/>
                <c:pt idx="0">
                  <c:v>365.22224462365597</c:v>
                </c:pt>
                <c:pt idx="1">
                  <c:v>379.40840053763446</c:v>
                </c:pt>
                <c:pt idx="2">
                  <c:v>485.09865591397846</c:v>
                </c:pt>
                <c:pt idx="3">
                  <c:v>429.23642473118281</c:v>
                </c:pt>
                <c:pt idx="4">
                  <c:v>434.77513440860213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BA3-4DDE-A703-02E3CEFBCFE6}"/>
            </c:ext>
          </c:extLst>
        </c:ser>
        <c:ser>
          <c:idx val="1"/>
          <c:order val="1"/>
          <c:tx>
            <c:strRef>
              <c:f>'2-Vir'!$P$17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pPr>
              <a:ln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'2-Vir'!$Q$20:$U$20</c:f>
                <c:numCache>
                  <c:formatCode>General</c:formatCode>
                  <c:ptCount val="5"/>
                  <c:pt idx="0">
                    <c:v>19.746890625099308</c:v>
                  </c:pt>
                  <c:pt idx="1">
                    <c:v>0.93332095772538159</c:v>
                  </c:pt>
                  <c:pt idx="2">
                    <c:v>0.31570381430121253</c:v>
                  </c:pt>
                  <c:pt idx="3">
                    <c:v>1.8557145445276715</c:v>
                  </c:pt>
                  <c:pt idx="4">
                    <c:v>4.8870967741937221E-2</c:v>
                  </c:pt>
                </c:numCache>
              </c:numRef>
            </c:plus>
            <c:minus>
              <c:numRef>
                <c:f>'2-Vir'!$Q$20:$U$20</c:f>
                <c:numCache>
                  <c:formatCode>General</c:formatCode>
                  <c:ptCount val="5"/>
                  <c:pt idx="0">
                    <c:v>19.746890625099308</c:v>
                  </c:pt>
                  <c:pt idx="1">
                    <c:v>0.93332095772538159</c:v>
                  </c:pt>
                  <c:pt idx="2">
                    <c:v>0.31570381430121253</c:v>
                  </c:pt>
                  <c:pt idx="3">
                    <c:v>1.8557145445276715</c:v>
                  </c:pt>
                  <c:pt idx="4">
                    <c:v>4.8870967741937221E-2</c:v>
                  </c:pt>
                </c:numCache>
              </c:numRef>
            </c:minus>
          </c:errBars>
          <c:xVal>
            <c:numRef>
              <c:f>'2-Vir'!$Q$15:$U$15</c:f>
              <c:numCache>
                <c:formatCode>0.00</c:formatCode>
                <c:ptCount val="5"/>
                <c:pt idx="0" formatCode="0">
                  <c:v>0</c:v>
                </c:pt>
                <c:pt idx="1">
                  <c:v>3.5</c:v>
                </c:pt>
                <c:pt idx="2" formatCode="0">
                  <c:v>13.5</c:v>
                </c:pt>
                <c:pt idx="3" formatCode="0">
                  <c:v>19.75</c:v>
                </c:pt>
                <c:pt idx="4" formatCode="0">
                  <c:v>27</c:v>
                </c:pt>
              </c:numCache>
            </c:numRef>
          </c:xVal>
          <c:yVal>
            <c:numRef>
              <c:f>'2-Vir'!$Q$17:$U$17</c:f>
              <c:numCache>
                <c:formatCode>0.00</c:formatCode>
                <c:ptCount val="5"/>
                <c:pt idx="0">
                  <c:v>41.039395161290322</c:v>
                </c:pt>
                <c:pt idx="1">
                  <c:v>48.663266129032259</c:v>
                </c:pt>
                <c:pt idx="2">
                  <c:v>48.932056451612908</c:v>
                </c:pt>
                <c:pt idx="3">
                  <c:v>46.921559139784939</c:v>
                </c:pt>
                <c:pt idx="4">
                  <c:v>47.82227822580645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A3-4DDE-A703-02E3CEFBC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46720"/>
        <c:axId val="140048256"/>
      </c:scatterChart>
      <c:valAx>
        <c:axId val="140046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40048256"/>
        <c:crosses val="autoZero"/>
        <c:crossBetween val="midCat"/>
      </c:valAx>
      <c:valAx>
        <c:axId val="14004825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40046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CA" sz="2000"/>
              <a:t>SI</a:t>
            </a:r>
          </a:p>
        </c:rich>
      </c:tx>
      <c:layout>
        <c:manualLayout>
          <c:xMode val="edge"/>
          <c:yMode val="edge"/>
          <c:x val="2.2493000874890614E-2"/>
          <c:y val="3.240740740740740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'All-Chla'!$Q$5</c:f>
              <c:strCache>
                <c:ptCount val="1"/>
                <c:pt idx="0">
                  <c:v>Initial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'All-Chla'!$Q$9:$Q$10</c:f>
                <c:numCache>
                  <c:formatCode>General</c:formatCode>
                  <c:ptCount val="2"/>
                  <c:pt idx="0">
                    <c:v>0.39373470177720732</c:v>
                  </c:pt>
                  <c:pt idx="1">
                    <c:v>0.50937481380430361</c:v>
                  </c:pt>
                </c:numCache>
              </c:numRef>
            </c:plus>
            <c:minus>
              <c:numRef>
                <c:f>'All-Chla'!$Q$9:$Q$10</c:f>
                <c:numCache>
                  <c:formatCode>General</c:formatCode>
                  <c:ptCount val="2"/>
                  <c:pt idx="0">
                    <c:v>0.39373470177720732</c:v>
                  </c:pt>
                  <c:pt idx="1">
                    <c:v>0.50937481380430361</c:v>
                  </c:pt>
                </c:numCache>
              </c:numRef>
            </c:minus>
          </c:errBars>
          <c:cat>
            <c:strRef>
              <c:f>'All-Chla'!$P$7:$P$8</c:f>
              <c:strCache>
                <c:ptCount val="2"/>
                <c:pt idx="0">
                  <c:v>SW+L</c:v>
                </c:pt>
                <c:pt idx="1">
                  <c:v>SW</c:v>
                </c:pt>
              </c:strCache>
            </c:strRef>
          </c:cat>
          <c:val>
            <c:numRef>
              <c:f>'All-Chla'!$Q$7:$Q$8</c:f>
              <c:numCache>
                <c:formatCode>General</c:formatCode>
                <c:ptCount val="2"/>
                <c:pt idx="0">
                  <c:v>5.6319542399999998</c:v>
                </c:pt>
                <c:pt idx="1">
                  <c:v>3.9234492586666665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B7-466B-A9F9-194810EB40D4}"/>
            </c:ext>
          </c:extLst>
        </c:ser>
        <c:ser>
          <c:idx val="1"/>
          <c:order val="1"/>
          <c:tx>
            <c:strRef>
              <c:f>'All-Chla'!$R$5</c:f>
              <c:strCache>
                <c:ptCount val="1"/>
                <c:pt idx="0">
                  <c:v>Final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'All-Chla'!$R$9:$R$10</c:f>
                <c:numCache>
                  <c:formatCode>General</c:formatCode>
                  <c:ptCount val="2"/>
                  <c:pt idx="0">
                    <c:v>0.95285078086060104</c:v>
                  </c:pt>
                  <c:pt idx="1">
                    <c:v>0.14626160606835287</c:v>
                  </c:pt>
                </c:numCache>
              </c:numRef>
            </c:plus>
            <c:minus>
              <c:numRef>
                <c:f>'All-Chla'!$R$9:$R$10</c:f>
                <c:numCache>
                  <c:formatCode>General</c:formatCode>
                  <c:ptCount val="2"/>
                  <c:pt idx="0">
                    <c:v>0.95285078086060104</c:v>
                  </c:pt>
                  <c:pt idx="1">
                    <c:v>0.14626160606835287</c:v>
                  </c:pt>
                </c:numCache>
              </c:numRef>
            </c:minus>
          </c:errBars>
          <c:cat>
            <c:strRef>
              <c:f>'All-Chla'!$P$7:$P$8</c:f>
              <c:strCache>
                <c:ptCount val="2"/>
                <c:pt idx="0">
                  <c:v>SW+L</c:v>
                </c:pt>
                <c:pt idx="1">
                  <c:v>SW</c:v>
                </c:pt>
              </c:strCache>
            </c:strRef>
          </c:cat>
          <c:val>
            <c:numRef>
              <c:f>'All-Chla'!$R$7:$R$8</c:f>
              <c:numCache>
                <c:formatCode>General</c:formatCode>
                <c:ptCount val="2"/>
                <c:pt idx="0">
                  <c:v>6.0248812800000016</c:v>
                </c:pt>
                <c:pt idx="1">
                  <c:v>3.1958065920000003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B7-466B-A9F9-194810EB4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436608"/>
        <c:axId val="140438144"/>
      </c:barChart>
      <c:catAx>
        <c:axId val="140436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0438144"/>
        <c:crosses val="autoZero"/>
        <c:auto val="1"/>
        <c:lblAlgn val="ctr"/>
        <c:lblOffset val="100"/>
        <c:noMultiLvlLbl val="0"/>
      </c:catAx>
      <c:valAx>
        <c:axId val="140438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Chlorophyll </a:t>
                </a:r>
                <a:r>
                  <a:rPr lang="en-CA" i="1"/>
                  <a:t>a</a:t>
                </a:r>
                <a:r>
                  <a:rPr lang="en-CA" i="0" baseline="0"/>
                  <a:t> (</a:t>
                </a:r>
                <a:r>
                  <a:rPr lang="en-CA" i="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µ</a:t>
                </a:r>
                <a:r>
                  <a:rPr lang="en-CA" i="0" baseline="0"/>
                  <a:t>g l</a:t>
                </a:r>
                <a:r>
                  <a:rPr lang="en-CA" i="0" baseline="30000"/>
                  <a:t>-1</a:t>
                </a:r>
                <a:r>
                  <a:rPr lang="en-CA" i="0" baseline="0"/>
                  <a:t>)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436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FRP</a:t>
            </a:r>
          </a:p>
        </c:rich>
      </c:tx>
      <c:layout>
        <c:manualLayout>
          <c:xMode val="edge"/>
          <c:yMode val="edge"/>
          <c:x val="2.2493000874890614E-2"/>
          <c:y val="3.240740740740740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'All-Chla'!$Q$12</c:f>
              <c:strCache>
                <c:ptCount val="1"/>
                <c:pt idx="0">
                  <c:v>Initial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'All-Chla'!$Q$16:$Q$17</c:f>
                <c:numCache>
                  <c:formatCode>General</c:formatCode>
                  <c:ptCount val="2"/>
                  <c:pt idx="0">
                    <c:v>0.22193459187497394</c:v>
                  </c:pt>
                  <c:pt idx="1">
                    <c:v>0.30071984577081851</c:v>
                  </c:pt>
                </c:numCache>
              </c:numRef>
            </c:plus>
            <c:minus>
              <c:numRef>
                <c:f>'All-Chla'!$Q$16:$Q$17</c:f>
                <c:numCache>
                  <c:formatCode>General</c:formatCode>
                  <c:ptCount val="2"/>
                  <c:pt idx="0">
                    <c:v>0.22193459187497394</c:v>
                  </c:pt>
                  <c:pt idx="1">
                    <c:v>0.30071984577081851</c:v>
                  </c:pt>
                </c:numCache>
              </c:numRef>
            </c:minus>
          </c:errBars>
          <c:cat>
            <c:strRef>
              <c:f>'All-Chla'!$P$14:$P$15</c:f>
              <c:strCache>
                <c:ptCount val="2"/>
                <c:pt idx="0">
                  <c:v>SW+L</c:v>
                </c:pt>
                <c:pt idx="1">
                  <c:v>SW</c:v>
                </c:pt>
              </c:strCache>
            </c:strRef>
          </c:cat>
          <c:val>
            <c:numRef>
              <c:f>'All-Chla'!$Q$14:$Q$15</c:f>
              <c:numCache>
                <c:formatCode>General</c:formatCode>
                <c:ptCount val="2"/>
                <c:pt idx="0">
                  <c:v>2.882920245333334</c:v>
                </c:pt>
                <c:pt idx="1">
                  <c:v>4.293091733333334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47-4B95-AFAE-9C99C4020525}"/>
            </c:ext>
          </c:extLst>
        </c:ser>
        <c:ser>
          <c:idx val="1"/>
          <c:order val="1"/>
          <c:tx>
            <c:strRef>
              <c:f>'All-Chla'!$R$12</c:f>
              <c:strCache>
                <c:ptCount val="1"/>
                <c:pt idx="0">
                  <c:v>Final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'All-Chla'!$R$16:$R$17</c:f>
                <c:numCache>
                  <c:formatCode>General</c:formatCode>
                  <c:ptCount val="2"/>
                  <c:pt idx="0">
                    <c:v>0.5143996225778229</c:v>
                  </c:pt>
                  <c:pt idx="1">
                    <c:v>0.61467331628846122</c:v>
                  </c:pt>
                </c:numCache>
              </c:numRef>
            </c:plus>
            <c:minus>
              <c:numRef>
                <c:f>'All-Chla'!$R$16:$R$17</c:f>
                <c:numCache>
                  <c:formatCode>General</c:formatCode>
                  <c:ptCount val="2"/>
                  <c:pt idx="0">
                    <c:v>0.5143996225778229</c:v>
                  </c:pt>
                  <c:pt idx="1">
                    <c:v>0.61467331628846122</c:v>
                  </c:pt>
                </c:numCache>
              </c:numRef>
            </c:minus>
          </c:errBars>
          <c:cat>
            <c:strRef>
              <c:f>'All-Chla'!$P$14:$P$15</c:f>
              <c:strCache>
                <c:ptCount val="2"/>
                <c:pt idx="0">
                  <c:v>SW+L</c:v>
                </c:pt>
                <c:pt idx="1">
                  <c:v>SW</c:v>
                </c:pt>
              </c:strCache>
            </c:strRef>
          </c:cat>
          <c:val>
            <c:numRef>
              <c:f>'All-Chla'!$R$14:$R$15</c:f>
              <c:numCache>
                <c:formatCode>General</c:formatCode>
                <c:ptCount val="2"/>
                <c:pt idx="0">
                  <c:v>3.1303187519999995</c:v>
                </c:pt>
                <c:pt idx="1">
                  <c:v>2.8479933973333331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47-4B95-AFAE-9C99C4020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493568"/>
        <c:axId val="140495104"/>
      </c:barChart>
      <c:catAx>
        <c:axId val="140493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0495104"/>
        <c:crosses val="autoZero"/>
        <c:auto val="1"/>
        <c:lblAlgn val="ctr"/>
        <c:lblOffset val="100"/>
        <c:noMultiLvlLbl val="0"/>
      </c:catAx>
      <c:valAx>
        <c:axId val="140495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Chlorophyll</a:t>
                </a:r>
                <a:r>
                  <a:rPr lang="en-CA" baseline="0"/>
                  <a:t> </a:t>
                </a:r>
                <a:r>
                  <a:rPr lang="en-CA" i="1" baseline="0"/>
                  <a:t>a</a:t>
                </a:r>
                <a:r>
                  <a:rPr lang="en-CA" i="0" baseline="0"/>
                  <a:t> (</a:t>
                </a:r>
                <a:r>
                  <a:rPr lang="en-CA" sz="1100" b="1" i="0" u="none" strike="noStrike" baseline="0">
                    <a:effectLst/>
                  </a:rPr>
                  <a:t>µg l</a:t>
                </a:r>
                <a:r>
                  <a:rPr lang="en-CA" sz="1100" b="1" i="0" u="none" strike="noStrike" baseline="30000">
                    <a:effectLst/>
                  </a:rPr>
                  <a:t>-1</a:t>
                </a:r>
                <a:r>
                  <a:rPr lang="en-CA" sz="1100" b="1" i="0" u="none" strike="noStrike" baseline="0">
                    <a:effectLst/>
                  </a:rPr>
                  <a:t>)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493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Stn 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'All-Chla'!$AB$6</c:f>
              <c:strCache>
                <c:ptCount val="1"/>
                <c:pt idx="0">
                  <c:v>SW+Lys A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strRef>
              <c:f>'All-Chla'!$AC$5:$AD$5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'All-Chla'!$AC$6:$AD$6</c:f>
              <c:numCache>
                <c:formatCode>General</c:formatCode>
                <c:ptCount val="2"/>
                <c:pt idx="0">
                  <c:v>4.8461001599999998</c:v>
                </c:pt>
                <c:pt idx="1">
                  <c:v>5.3700028800000004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A78-4E3E-8E30-428D06448D2A}"/>
            </c:ext>
          </c:extLst>
        </c:ser>
        <c:ser>
          <c:idx val="1"/>
          <c:order val="1"/>
          <c:tx>
            <c:strRef>
              <c:f>'All-Chla'!$AB$7</c:f>
              <c:strCache>
                <c:ptCount val="1"/>
                <c:pt idx="0">
                  <c:v>SW+Lys B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strRef>
              <c:f>'All-Chla'!$AC$5:$AD$5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'All-Chla'!$AC$7:$AD$7</c:f>
              <c:numCache>
                <c:formatCode>General</c:formatCode>
                <c:ptCount val="2"/>
                <c:pt idx="0">
                  <c:v>5.9812227200000008</c:v>
                </c:pt>
                <c:pt idx="1">
                  <c:v>7.9021993600000009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A78-4E3E-8E30-428D06448D2A}"/>
            </c:ext>
          </c:extLst>
        </c:ser>
        <c:ser>
          <c:idx val="2"/>
          <c:order val="2"/>
          <c:tx>
            <c:strRef>
              <c:f>'All-Chla'!$AB$8</c:f>
              <c:strCache>
                <c:ptCount val="1"/>
                <c:pt idx="0">
                  <c:v>SW+Lys C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strRef>
              <c:f>'All-Chla'!$AC$5:$AD$5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'All-Chla'!$AC$8:$AD$8</c:f>
              <c:numCache>
                <c:formatCode>General</c:formatCode>
                <c:ptCount val="2"/>
                <c:pt idx="0">
                  <c:v>6.0685398400000006</c:v>
                </c:pt>
                <c:pt idx="1">
                  <c:v>4.8024416000000008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A78-4E3E-8E30-428D06448D2A}"/>
            </c:ext>
          </c:extLst>
        </c:ser>
        <c:ser>
          <c:idx val="3"/>
          <c:order val="3"/>
          <c:tx>
            <c:strRef>
              <c:f>'All-Chla'!$AB$9</c:f>
              <c:strCache>
                <c:ptCount val="1"/>
                <c:pt idx="0">
                  <c:v>SW A</c:v>
                </c:pt>
              </c:strCache>
            </c:strRef>
          </c:tx>
          <c:spPr>
            <a:ln w="28575">
              <a:solidFill>
                <a:schemeClr val="accent6"/>
              </a:solidFill>
            </a:ln>
          </c:spPr>
          <c:marker>
            <c:spPr>
              <a:ln>
                <a:solidFill>
                  <a:schemeClr val="accent6"/>
                </a:solidFill>
              </a:ln>
            </c:spPr>
          </c:marker>
          <c:xVal>
            <c:strRef>
              <c:f>'All-Chla'!$AC$5:$AD$5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'All-Chla'!$AC$9:$AD$9</c:f>
              <c:numCache>
                <c:formatCode>General</c:formatCode>
                <c:ptCount val="2"/>
                <c:pt idx="0">
                  <c:v>3.719709312</c:v>
                </c:pt>
                <c:pt idx="1">
                  <c:v>2.9032942400000001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A78-4E3E-8E30-428D06448D2A}"/>
            </c:ext>
          </c:extLst>
        </c:ser>
        <c:ser>
          <c:idx val="4"/>
          <c:order val="4"/>
          <c:tx>
            <c:strRef>
              <c:f>'All-Chla'!$AB$10</c:f>
              <c:strCache>
                <c:ptCount val="1"/>
                <c:pt idx="0">
                  <c:v>SW B</c:v>
                </c:pt>
              </c:strCache>
            </c:strRef>
          </c:tx>
          <c:spPr>
            <a:ln w="28575">
              <a:solidFill>
                <a:schemeClr val="accent6"/>
              </a:solidFill>
            </a:ln>
          </c:spPr>
          <c:marker>
            <c:spPr>
              <a:ln>
                <a:solidFill>
                  <a:schemeClr val="accent6"/>
                </a:solidFill>
              </a:ln>
            </c:spPr>
          </c:marker>
          <c:xVal>
            <c:strRef>
              <c:f>'All-Chla'!$AC$5:$AD$5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'All-Chla'!$AC$10:$AD$10</c:f>
              <c:numCache>
                <c:formatCode>General</c:formatCode>
                <c:ptCount val="2"/>
                <c:pt idx="0">
                  <c:v>4.8897587199999997</c:v>
                </c:pt>
                <c:pt idx="1">
                  <c:v>3.3442456960000002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A78-4E3E-8E30-428D06448D2A}"/>
            </c:ext>
          </c:extLst>
        </c:ser>
        <c:ser>
          <c:idx val="5"/>
          <c:order val="5"/>
          <c:tx>
            <c:strRef>
              <c:f>'All-Chla'!$AB$11</c:f>
              <c:strCache>
                <c:ptCount val="1"/>
                <c:pt idx="0">
                  <c:v>SW C</c:v>
                </c:pt>
              </c:strCache>
            </c:strRef>
          </c:tx>
          <c:spPr>
            <a:ln w="28575">
              <a:solidFill>
                <a:schemeClr val="accent6"/>
              </a:solidFill>
            </a:ln>
          </c:spPr>
          <c:marker>
            <c:spPr>
              <a:ln>
                <a:solidFill>
                  <a:schemeClr val="accent6"/>
                </a:solidFill>
              </a:ln>
            </c:spPr>
          </c:marker>
          <c:xVal>
            <c:strRef>
              <c:f>'All-Chla'!$AC$5:$AD$5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'All-Chla'!$AC$11:$AD$11</c:f>
              <c:numCache>
                <c:formatCode>General</c:formatCode>
                <c:ptCount val="2"/>
                <c:pt idx="0">
                  <c:v>3.1608797440000003</c:v>
                </c:pt>
                <c:pt idx="1">
                  <c:v>3.33987984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A78-4E3E-8E30-428D06448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09824"/>
        <c:axId val="141324288"/>
      </c:scatterChart>
      <c:valAx>
        <c:axId val="141309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41324288"/>
        <c:crosses val="autoZero"/>
        <c:crossBetween val="midCat"/>
      </c:valAx>
      <c:valAx>
        <c:axId val="141324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1309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Stn</a:t>
            </a:r>
            <a:r>
              <a:rPr lang="en-CA" baseline="0"/>
              <a:t> 2</a:t>
            </a:r>
            <a:endParaRPr lang="en-CA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'All-Chla'!$AB$14</c:f>
              <c:strCache>
                <c:ptCount val="1"/>
                <c:pt idx="0">
                  <c:v>SW+Lys A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strRef>
              <c:f>'All-Chla'!$AC$13:$AD$13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'All-Chla'!$AC$14:$AD$14</c:f>
              <c:numCache>
                <c:formatCode>General</c:formatCode>
                <c:ptCount val="2"/>
                <c:pt idx="0">
                  <c:v>2.8683673920000001</c:v>
                </c:pt>
                <c:pt idx="1">
                  <c:v>4.1475632000000004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E5-4B4E-9D83-5A8AE93488FB}"/>
            </c:ext>
          </c:extLst>
        </c:ser>
        <c:ser>
          <c:idx val="1"/>
          <c:order val="1"/>
          <c:tx>
            <c:strRef>
              <c:f>'All-Chla'!$AB$15</c:f>
              <c:strCache>
                <c:ptCount val="1"/>
                <c:pt idx="0">
                  <c:v>SW+Lys B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strRef>
              <c:f>'All-Chla'!$AC$13:$AD$13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'All-Chla'!$AC$15:$AD$15</c:f>
              <c:numCache>
                <c:formatCode>General</c:formatCode>
                <c:ptCount val="2"/>
                <c:pt idx="0">
                  <c:v>3.2743920000000006</c:v>
                </c:pt>
                <c:pt idx="1">
                  <c:v>2.7548551359999998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E5-4B4E-9D83-5A8AE93488FB}"/>
            </c:ext>
          </c:extLst>
        </c:ser>
        <c:ser>
          <c:idx val="2"/>
          <c:order val="2"/>
          <c:tx>
            <c:strRef>
              <c:f>'All-Chla'!$AB$16</c:f>
              <c:strCache>
                <c:ptCount val="1"/>
                <c:pt idx="0">
                  <c:v>SW+Lys C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strRef>
              <c:f>'All-Chla'!$AC$13:$AD$13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'All-Chla'!$AC$16:$AD$16</c:f>
              <c:numCache>
                <c:formatCode>General</c:formatCode>
                <c:ptCount val="2"/>
                <c:pt idx="0">
                  <c:v>2.5060013440000009</c:v>
                </c:pt>
                <c:pt idx="1">
                  <c:v>2.4885379199999997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E5-4B4E-9D83-5A8AE93488FB}"/>
            </c:ext>
          </c:extLst>
        </c:ser>
        <c:ser>
          <c:idx val="3"/>
          <c:order val="3"/>
          <c:tx>
            <c:strRef>
              <c:f>'All-Chla'!$AB$17</c:f>
              <c:strCache>
                <c:ptCount val="1"/>
                <c:pt idx="0">
                  <c:v>SW A</c:v>
                </c:pt>
              </c:strCache>
            </c:strRef>
          </c:tx>
          <c:spPr>
            <a:ln w="28575">
              <a:solidFill>
                <a:schemeClr val="accent6"/>
              </a:solidFill>
            </a:ln>
          </c:spPr>
          <c:marker>
            <c:spPr>
              <a:ln>
                <a:solidFill>
                  <a:schemeClr val="accent6"/>
                </a:solidFill>
              </a:ln>
            </c:spPr>
          </c:marker>
          <c:xVal>
            <c:strRef>
              <c:f>'All-Chla'!$AC$13:$AD$13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'All-Chla'!$AC$17:$AD$17</c:f>
              <c:numCache>
                <c:formatCode>General</c:formatCode>
                <c:ptCount val="2"/>
                <c:pt idx="0">
                  <c:v>3.7109776000000014</c:v>
                </c:pt>
                <c:pt idx="1">
                  <c:v>2.9775137920000003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AE5-4B4E-9D83-5A8AE93488FB}"/>
            </c:ext>
          </c:extLst>
        </c:ser>
        <c:ser>
          <c:idx val="4"/>
          <c:order val="4"/>
          <c:tx>
            <c:strRef>
              <c:f>'All-Chla'!$AB$18</c:f>
              <c:strCache>
                <c:ptCount val="1"/>
                <c:pt idx="0">
                  <c:v>SW B</c:v>
                </c:pt>
              </c:strCache>
            </c:strRef>
          </c:tx>
          <c:spPr>
            <a:ln w="28575">
              <a:solidFill>
                <a:schemeClr val="accent6"/>
              </a:solidFill>
            </a:ln>
          </c:spPr>
          <c:marker>
            <c:spPr>
              <a:ln>
                <a:solidFill>
                  <a:schemeClr val="accent6"/>
                </a:solidFill>
              </a:ln>
            </c:spPr>
          </c:marker>
          <c:xVal>
            <c:strRef>
              <c:f>'All-Chla'!$AC$13:$AD$13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'All-Chla'!$AC$18:$AD$18</c:f>
              <c:numCache>
                <c:formatCode>General</c:formatCode>
                <c:ptCount val="2"/>
                <c:pt idx="0">
                  <c:v>4.4531731200000007</c:v>
                </c:pt>
                <c:pt idx="1">
                  <c:v>1.7245131200000001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AE5-4B4E-9D83-5A8AE93488FB}"/>
            </c:ext>
          </c:extLst>
        </c:ser>
        <c:ser>
          <c:idx val="5"/>
          <c:order val="5"/>
          <c:tx>
            <c:strRef>
              <c:f>'All-Chla'!$AB$19</c:f>
              <c:strCache>
                <c:ptCount val="1"/>
                <c:pt idx="0">
                  <c:v>SW C</c:v>
                </c:pt>
              </c:strCache>
            </c:strRef>
          </c:tx>
          <c:spPr>
            <a:ln w="28575">
              <a:solidFill>
                <a:schemeClr val="accent6"/>
              </a:solidFill>
            </a:ln>
          </c:spPr>
          <c:marker>
            <c:spPr>
              <a:ln>
                <a:solidFill>
                  <a:schemeClr val="accent6"/>
                </a:solidFill>
              </a:ln>
            </c:spPr>
          </c:marker>
          <c:xVal>
            <c:strRef>
              <c:f>'All-Chla'!$AC$13:$AD$13</c:f>
              <c:strCache>
                <c:ptCount val="2"/>
                <c:pt idx="0">
                  <c:v>T=0</c:v>
                </c:pt>
                <c:pt idx="1">
                  <c:v>T=end</c:v>
                </c:pt>
              </c:strCache>
            </c:strRef>
          </c:xVal>
          <c:yVal>
            <c:numRef>
              <c:f>'All-Chla'!$AC$19:$AD$19</c:f>
              <c:numCache>
                <c:formatCode>General</c:formatCode>
                <c:ptCount val="2"/>
                <c:pt idx="0">
                  <c:v>4.7151244799999992</c:v>
                </c:pt>
                <c:pt idx="1">
                  <c:v>3.8419532799999994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AE5-4B4E-9D83-5A8AE9348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365248"/>
        <c:axId val="141367168"/>
      </c:scatterChart>
      <c:valAx>
        <c:axId val="141365248"/>
        <c:scaling>
          <c:orientation val="minMax"/>
        </c:scaling>
        <c:delete val="0"/>
        <c:axPos val="b"/>
        <c:majorTickMark val="out"/>
        <c:minorTickMark val="none"/>
        <c:tickLblPos val="nextTo"/>
        <c:crossAx val="141367168"/>
        <c:crosses val="autoZero"/>
        <c:crossBetween val="midCat"/>
      </c:valAx>
      <c:valAx>
        <c:axId val="1413671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13652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'All-Chla'!$P$7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'All-Chla'!$Q$9:$R$9</c:f>
                <c:numCache>
                  <c:formatCode>General</c:formatCode>
                  <c:ptCount val="2"/>
                  <c:pt idx="0">
                    <c:v>0.39373470177720732</c:v>
                  </c:pt>
                  <c:pt idx="1">
                    <c:v>0.95285078086060104</c:v>
                  </c:pt>
                </c:numCache>
              </c:numRef>
            </c:plus>
            <c:minus>
              <c:numRef>
                <c:f>'All-Chla'!$Q$9:$R$9</c:f>
                <c:numCache>
                  <c:formatCode>General</c:formatCode>
                  <c:ptCount val="2"/>
                  <c:pt idx="0">
                    <c:v>0.39373470177720732</c:v>
                  </c:pt>
                  <c:pt idx="1">
                    <c:v>0.95285078086060104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'All-Chla'!$Q$6:$R$6</c:f>
              <c:numCache>
                <c:formatCode>General</c:formatCode>
                <c:ptCount val="2"/>
                <c:pt idx="0">
                  <c:v>0</c:v>
                </c:pt>
                <c:pt idx="1">
                  <c:v>32</c:v>
                </c:pt>
              </c:numCache>
            </c:numRef>
          </c:xVal>
          <c:yVal>
            <c:numRef>
              <c:f>'All-Chla'!$Q$7:$R$7</c:f>
              <c:numCache>
                <c:formatCode>General</c:formatCode>
                <c:ptCount val="2"/>
                <c:pt idx="0">
                  <c:v>5.6319542399999998</c:v>
                </c:pt>
                <c:pt idx="1">
                  <c:v>6.0248812800000016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C6-4CDD-ADCC-1BBC9DA12B3B}"/>
            </c:ext>
          </c:extLst>
        </c:ser>
        <c:ser>
          <c:idx val="1"/>
          <c:order val="1"/>
          <c:tx>
            <c:strRef>
              <c:f>'All-Chla'!$P$8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'All-Chla'!$Q$10:$R$10</c:f>
                <c:numCache>
                  <c:formatCode>General</c:formatCode>
                  <c:ptCount val="2"/>
                  <c:pt idx="0">
                    <c:v>0.50937481380430361</c:v>
                  </c:pt>
                  <c:pt idx="1">
                    <c:v>0.14626160606835287</c:v>
                  </c:pt>
                </c:numCache>
              </c:numRef>
            </c:plus>
            <c:minus>
              <c:numRef>
                <c:f>'All-Chla'!$Q$10:$R$10</c:f>
                <c:numCache>
                  <c:formatCode>General</c:formatCode>
                  <c:ptCount val="2"/>
                  <c:pt idx="0">
                    <c:v>0.50937481380430361</c:v>
                  </c:pt>
                  <c:pt idx="1">
                    <c:v>0.14626160606835287</c:v>
                  </c:pt>
                </c:numCache>
              </c:numRef>
            </c:minus>
          </c:errBars>
          <c:errBars>
            <c:errDir val="x"/>
            <c:errBarType val="both"/>
            <c:errValType val="fixedVal"/>
            <c:noEndCap val="0"/>
            <c:val val="1"/>
          </c:errBars>
          <c:xVal>
            <c:numRef>
              <c:f>'All-Chla'!$Q$6:$R$6</c:f>
              <c:numCache>
                <c:formatCode>General</c:formatCode>
                <c:ptCount val="2"/>
                <c:pt idx="0">
                  <c:v>0</c:v>
                </c:pt>
                <c:pt idx="1">
                  <c:v>32</c:v>
                </c:pt>
              </c:numCache>
            </c:numRef>
          </c:xVal>
          <c:yVal>
            <c:numRef>
              <c:f>'All-Chla'!$Q$8:$R$8</c:f>
              <c:numCache>
                <c:formatCode>General</c:formatCode>
                <c:ptCount val="2"/>
                <c:pt idx="0">
                  <c:v>3.9234492586666665</c:v>
                </c:pt>
                <c:pt idx="1">
                  <c:v>3.1958065920000003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C6-4CDD-ADCC-1BBC9DA12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13984"/>
        <c:axId val="141124352"/>
      </c:scatterChart>
      <c:valAx>
        <c:axId val="141113984"/>
        <c:scaling>
          <c:orientation val="minMax"/>
          <c:max val="4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141124352"/>
        <c:crosses val="autoZero"/>
        <c:crossBetween val="midCat"/>
        <c:majorUnit val="10"/>
      </c:valAx>
      <c:valAx>
        <c:axId val="141124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1113984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'All-Chla'!$P$14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'All-Chla'!$Q$16:$R$16</c:f>
                <c:numCache>
                  <c:formatCode>General</c:formatCode>
                  <c:ptCount val="2"/>
                  <c:pt idx="0">
                    <c:v>0.22193459187497394</c:v>
                  </c:pt>
                  <c:pt idx="1">
                    <c:v>0.5143996225778229</c:v>
                  </c:pt>
                </c:numCache>
              </c:numRef>
            </c:plus>
            <c:minus>
              <c:numRef>
                <c:f>'All-Chla'!$Q$16:$R$16</c:f>
                <c:numCache>
                  <c:formatCode>General</c:formatCode>
                  <c:ptCount val="2"/>
                  <c:pt idx="0">
                    <c:v>0.22193459187497394</c:v>
                  </c:pt>
                  <c:pt idx="1">
                    <c:v>0.5143996225778229</c:v>
                  </c:pt>
                </c:numCache>
              </c:numRef>
            </c:minus>
          </c:errBars>
          <c:xVal>
            <c:numRef>
              <c:f>'All-Chla'!$Q$13:$R$13</c:f>
              <c:numCache>
                <c:formatCode>General</c:formatCode>
                <c:ptCount val="2"/>
                <c:pt idx="0">
                  <c:v>0</c:v>
                </c:pt>
                <c:pt idx="1">
                  <c:v>27</c:v>
                </c:pt>
              </c:numCache>
            </c:numRef>
          </c:xVal>
          <c:yVal>
            <c:numRef>
              <c:f>'All-Chla'!$Q$14:$R$14</c:f>
              <c:numCache>
                <c:formatCode>General</c:formatCode>
                <c:ptCount val="2"/>
                <c:pt idx="0">
                  <c:v>2.882920245333334</c:v>
                </c:pt>
                <c:pt idx="1">
                  <c:v>3.1303187519999995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D7-416D-8A66-71807FF7EF48}"/>
            </c:ext>
          </c:extLst>
        </c:ser>
        <c:ser>
          <c:idx val="1"/>
          <c:order val="1"/>
          <c:tx>
            <c:strRef>
              <c:f>'All-Chla'!$P$15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'All-Chla'!$Q$17:$R$17</c:f>
                <c:numCache>
                  <c:formatCode>General</c:formatCode>
                  <c:ptCount val="2"/>
                  <c:pt idx="0">
                    <c:v>0.30071984577081851</c:v>
                  </c:pt>
                  <c:pt idx="1">
                    <c:v>0.61467331628846122</c:v>
                  </c:pt>
                </c:numCache>
              </c:numRef>
            </c:plus>
            <c:minus>
              <c:numRef>
                <c:f>'All-Chla'!$Q$17:$R$17</c:f>
                <c:numCache>
                  <c:formatCode>General</c:formatCode>
                  <c:ptCount val="2"/>
                  <c:pt idx="0">
                    <c:v>0.30071984577081851</c:v>
                  </c:pt>
                  <c:pt idx="1">
                    <c:v>0.61467331628846122</c:v>
                  </c:pt>
                </c:numCache>
              </c:numRef>
            </c:minus>
          </c:errBars>
          <c:xVal>
            <c:numRef>
              <c:f>'All-Chla'!$Q$13:$R$13</c:f>
              <c:numCache>
                <c:formatCode>General</c:formatCode>
                <c:ptCount val="2"/>
                <c:pt idx="0">
                  <c:v>0</c:v>
                </c:pt>
                <c:pt idx="1">
                  <c:v>27</c:v>
                </c:pt>
              </c:numCache>
            </c:numRef>
          </c:xVal>
          <c:yVal>
            <c:numRef>
              <c:f>'All-Chla'!$Q$15:$R$15</c:f>
              <c:numCache>
                <c:formatCode>General</c:formatCode>
                <c:ptCount val="2"/>
                <c:pt idx="0">
                  <c:v>4.293091733333334</c:v>
                </c:pt>
                <c:pt idx="1">
                  <c:v>2.8479933973333331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D7-416D-8A66-71807FF7E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49696"/>
        <c:axId val="141151616"/>
      </c:scatterChart>
      <c:valAx>
        <c:axId val="141149696"/>
        <c:scaling>
          <c:orientation val="minMax"/>
          <c:max val="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141151616"/>
        <c:crosses val="autoZero"/>
        <c:crossBetween val="midCat"/>
        <c:majorUnit val="10"/>
      </c:valAx>
      <c:valAx>
        <c:axId val="141151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1149696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SI</a:t>
            </a:r>
          </a:p>
        </c:rich>
      </c:tx>
      <c:layout>
        <c:manualLayout>
          <c:xMode val="edge"/>
          <c:yMode val="edge"/>
          <c:x val="3.4701443569553805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'1-PP-New'!$S$14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'1-PP-New'!$T$17:$X$17</c:f>
                <c:numCache>
                  <c:formatCode>General</c:formatCode>
                  <c:ptCount val="5"/>
                  <c:pt idx="0">
                    <c:v>0.17600604921111973</c:v>
                  </c:pt>
                  <c:pt idx="1">
                    <c:v>0.21128541341656085</c:v>
                  </c:pt>
                  <c:pt idx="2">
                    <c:v>0.1255670773520611</c:v>
                  </c:pt>
                  <c:pt idx="3">
                    <c:v>0.1454732407182377</c:v>
                  </c:pt>
                  <c:pt idx="4">
                    <c:v>0.27132654693569719</c:v>
                  </c:pt>
                </c:numCache>
              </c:numRef>
            </c:plus>
            <c:minus>
              <c:numRef>
                <c:f>'1-PP-New'!$T$17:$X$17</c:f>
                <c:numCache>
                  <c:formatCode>General</c:formatCode>
                  <c:ptCount val="5"/>
                  <c:pt idx="0">
                    <c:v>0.17600604921111973</c:v>
                  </c:pt>
                  <c:pt idx="1">
                    <c:v>0.21128541341656085</c:v>
                  </c:pt>
                  <c:pt idx="2">
                    <c:v>0.1255670773520611</c:v>
                  </c:pt>
                  <c:pt idx="3">
                    <c:v>0.1454732407182377</c:v>
                  </c:pt>
                  <c:pt idx="4">
                    <c:v>0.27132654693569719</c:v>
                  </c:pt>
                </c:numCache>
              </c:numRef>
            </c:minus>
          </c:errBars>
          <c:xVal>
            <c:numRef>
              <c:f>'1-PP-New'!$T$13:$X$13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'1-PP-New'!$T$14:$X$14</c:f>
              <c:numCache>
                <c:formatCode>General</c:formatCode>
                <c:ptCount val="5"/>
                <c:pt idx="0">
                  <c:v>0.65466318591318595</c:v>
                </c:pt>
                <c:pt idx="1">
                  <c:v>0.78224602443352431</c:v>
                </c:pt>
                <c:pt idx="2">
                  <c:v>0.82182182182182173</c:v>
                </c:pt>
                <c:pt idx="3">
                  <c:v>0.66926926926926933</c:v>
                </c:pt>
                <c:pt idx="4">
                  <c:v>0.99419419419419397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37-43F1-B532-50C2D29B75A4}"/>
            </c:ext>
          </c:extLst>
        </c:ser>
        <c:ser>
          <c:idx val="1"/>
          <c:order val="1"/>
          <c:tx>
            <c:strRef>
              <c:f>'1-PP-New'!$S$15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'1-PP-New'!$T$18:$X$18</c:f>
                <c:numCache>
                  <c:formatCode>General</c:formatCode>
                  <c:ptCount val="5"/>
                  <c:pt idx="0">
                    <c:v>0.1117199002328669</c:v>
                  </c:pt>
                  <c:pt idx="1">
                    <c:v>0.19413835714182226</c:v>
                  </c:pt>
                  <c:pt idx="2">
                    <c:v>9.8200264462929676E-2</c:v>
                  </c:pt>
                  <c:pt idx="3">
                    <c:v>0.31121578715914788</c:v>
                  </c:pt>
                  <c:pt idx="4">
                    <c:v>0.20308207001603276</c:v>
                  </c:pt>
                </c:numCache>
              </c:numRef>
            </c:plus>
            <c:minus>
              <c:numRef>
                <c:f>'1-PP-New'!$T$18:$X$18</c:f>
                <c:numCache>
                  <c:formatCode>General</c:formatCode>
                  <c:ptCount val="5"/>
                  <c:pt idx="0">
                    <c:v>0.1117199002328669</c:v>
                  </c:pt>
                  <c:pt idx="1">
                    <c:v>0.19413835714182226</c:v>
                  </c:pt>
                  <c:pt idx="2">
                    <c:v>9.8200264462929676E-2</c:v>
                  </c:pt>
                  <c:pt idx="3">
                    <c:v>0.31121578715914788</c:v>
                  </c:pt>
                  <c:pt idx="4">
                    <c:v>0.20308207001603276</c:v>
                  </c:pt>
                </c:numCache>
              </c:numRef>
            </c:minus>
          </c:errBars>
          <c:xVal>
            <c:numRef>
              <c:f>'1-PP-New'!$T$13:$X$13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'1-PP-New'!$T$15:$X$15</c:f>
              <c:numCache>
                <c:formatCode>General</c:formatCode>
                <c:ptCount val="5"/>
                <c:pt idx="0">
                  <c:v>0.67258792883792873</c:v>
                </c:pt>
                <c:pt idx="1">
                  <c:v>0.82417417417417405</c:v>
                </c:pt>
                <c:pt idx="2">
                  <c:v>0.71606606606606604</c:v>
                </c:pt>
                <c:pt idx="3">
                  <c:v>0.81401401401401385</c:v>
                </c:pt>
                <c:pt idx="4">
                  <c:v>0.80112612612612599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37-43F1-B532-50C2D29B75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886592"/>
        <c:axId val="139888512"/>
      </c:scatterChart>
      <c:valAx>
        <c:axId val="13988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888512"/>
        <c:crosses val="autoZero"/>
        <c:crossBetween val="midCat"/>
      </c:valAx>
      <c:valAx>
        <c:axId val="13988851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Picophytoplankton (x10</a:t>
                </a:r>
                <a:r>
                  <a:rPr lang="en-CA" baseline="30000"/>
                  <a:t>4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886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'1-PP-New'!$Y$14</c:f>
              <c:strCache>
                <c:ptCount val="1"/>
                <c:pt idx="0">
                  <c:v>SW+L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'1-PP-New'!$Z$17:$AC$17</c:f>
                <c:numCache>
                  <c:formatCode>General</c:formatCode>
                  <c:ptCount val="4"/>
                  <c:pt idx="0">
                    <c:v>0.16004804784866966</c:v>
                  </c:pt>
                  <c:pt idx="1">
                    <c:v>7.8649905754248368E-3</c:v>
                  </c:pt>
                  <c:pt idx="2">
                    <c:v>5.0706053843279836E-2</c:v>
                  </c:pt>
                  <c:pt idx="3">
                    <c:v>0.12167460930269802</c:v>
                  </c:pt>
                </c:numCache>
              </c:numRef>
            </c:plus>
            <c:minus>
              <c:numRef>
                <c:f>'1-PP-New'!$Z$17:$AC$17</c:f>
                <c:numCache>
                  <c:formatCode>General</c:formatCode>
                  <c:ptCount val="4"/>
                  <c:pt idx="0">
                    <c:v>0.16004804784866966</c:v>
                  </c:pt>
                  <c:pt idx="1">
                    <c:v>7.8649905754248368E-3</c:v>
                  </c:pt>
                  <c:pt idx="2">
                    <c:v>5.0706053843279836E-2</c:v>
                  </c:pt>
                  <c:pt idx="3">
                    <c:v>0.12167460930269802</c:v>
                  </c:pt>
                </c:numCache>
              </c:numRef>
            </c:minus>
          </c:errBars>
          <c:cat>
            <c:strRef>
              <c:f>'1-PP-New'!$Z$13:$AC$13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'1-PP-New'!$Z$14:$AC$14</c:f>
              <c:numCache>
                <c:formatCode>General</c:formatCode>
                <c:ptCount val="4"/>
                <c:pt idx="0">
                  <c:v>9.2944649194649218E-2</c:v>
                </c:pt>
                <c:pt idx="1">
                  <c:v>2.1675652925652922E-2</c:v>
                </c:pt>
                <c:pt idx="2">
                  <c:v>2.7587530712530711E-2</c:v>
                </c:pt>
                <c:pt idx="3">
                  <c:v>0.11035325097825095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3-439A-9B79-021D2148576E}"/>
            </c:ext>
          </c:extLst>
        </c:ser>
        <c:ser>
          <c:idx val="1"/>
          <c:order val="1"/>
          <c:tx>
            <c:strRef>
              <c:f>'1-PP-New'!$Y$15</c:f>
              <c:strCache>
                <c:ptCount val="1"/>
                <c:pt idx="0">
                  <c:v>SW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'1-PP-New'!$Z$18:$AC$18</c:f>
                <c:numCache>
                  <c:formatCode>General</c:formatCode>
                  <c:ptCount val="4"/>
                  <c:pt idx="0">
                    <c:v>0.20450513100271761</c:v>
                  </c:pt>
                  <c:pt idx="1">
                    <c:v>2.8496374325766221E-2</c:v>
                  </c:pt>
                  <c:pt idx="2">
                    <c:v>4.1004483760069127E-2</c:v>
                  </c:pt>
                  <c:pt idx="3">
                    <c:v>8.5199260835304311E-2</c:v>
                  </c:pt>
                </c:numCache>
              </c:numRef>
            </c:plus>
            <c:minus>
              <c:numRef>
                <c:f>'1-PP-New'!$Z$18:$AC$18</c:f>
                <c:numCache>
                  <c:formatCode>General</c:formatCode>
                  <c:ptCount val="4"/>
                  <c:pt idx="0">
                    <c:v>0.20450513100271761</c:v>
                  </c:pt>
                  <c:pt idx="1">
                    <c:v>2.8496374325766221E-2</c:v>
                  </c:pt>
                  <c:pt idx="2">
                    <c:v>4.1004483760069127E-2</c:v>
                  </c:pt>
                  <c:pt idx="3">
                    <c:v>8.5199260835304311E-2</c:v>
                  </c:pt>
                </c:numCache>
              </c:numRef>
            </c:minus>
          </c:errBars>
          <c:cat>
            <c:strRef>
              <c:f>'1-PP-New'!$Z$13:$AC$13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'1-PP-New'!$Z$15:$AC$15</c:f>
              <c:numCache>
                <c:formatCode>General</c:formatCode>
                <c:ptCount val="4"/>
                <c:pt idx="0">
                  <c:v>0.13962726931476929</c:v>
                </c:pt>
                <c:pt idx="1">
                  <c:v>1.0330500955500952E-2</c:v>
                </c:pt>
                <c:pt idx="2">
                  <c:v>6.8903349372099368E-2</c:v>
                </c:pt>
                <c:pt idx="3">
                  <c:v>-5.6583572208573907E-4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3-439A-9B79-021D214857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857344"/>
        <c:axId val="140858880"/>
      </c:barChart>
      <c:catAx>
        <c:axId val="140857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0858880"/>
        <c:crosses val="autoZero"/>
        <c:auto val="1"/>
        <c:lblAlgn val="ctr"/>
        <c:lblOffset val="100"/>
        <c:noMultiLvlLbl val="0"/>
      </c:catAx>
      <c:valAx>
        <c:axId val="140858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0857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FRP</a:t>
            </a:r>
          </a:p>
        </c:rich>
      </c:tx>
      <c:layout>
        <c:manualLayout>
          <c:xMode val="edge"/>
          <c:yMode val="edge"/>
          <c:x val="3.4701443569553805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'2-PP-New'!$T$14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'2-PP-New'!$U$17:$Y$17</c:f>
                <c:numCache>
                  <c:formatCode>General</c:formatCode>
                  <c:ptCount val="5"/>
                  <c:pt idx="0">
                    <c:v>9.4665035877337919E-2</c:v>
                  </c:pt>
                  <c:pt idx="1">
                    <c:v>0.10504016100928616</c:v>
                  </c:pt>
                  <c:pt idx="2">
                    <c:v>7.914154949889117E-2</c:v>
                  </c:pt>
                  <c:pt idx="3">
                    <c:v>0.24124869847571037</c:v>
                  </c:pt>
                  <c:pt idx="4">
                    <c:v>0.39463024721762058</c:v>
                  </c:pt>
                </c:numCache>
              </c:numRef>
            </c:plus>
            <c:minus>
              <c:numRef>
                <c:f>'2-PP-New'!$U$17:$Y$17</c:f>
                <c:numCache>
                  <c:formatCode>General</c:formatCode>
                  <c:ptCount val="5"/>
                  <c:pt idx="0">
                    <c:v>9.4665035877337919E-2</c:v>
                  </c:pt>
                  <c:pt idx="1">
                    <c:v>0.10504016100928616</c:v>
                  </c:pt>
                  <c:pt idx="2">
                    <c:v>7.914154949889117E-2</c:v>
                  </c:pt>
                  <c:pt idx="3">
                    <c:v>0.24124869847571037</c:v>
                  </c:pt>
                  <c:pt idx="4">
                    <c:v>0.39463024721762058</c:v>
                  </c:pt>
                </c:numCache>
              </c:numRef>
            </c:minus>
          </c:errBars>
          <c:xVal>
            <c:numRef>
              <c:f>'2-PP-New'!$U$13:$Y$13</c:f>
              <c:numCache>
                <c:formatCode>General</c:formatCode>
                <c:ptCount val="5"/>
                <c:pt idx="0">
                  <c:v>0</c:v>
                </c:pt>
                <c:pt idx="1">
                  <c:v>3.5</c:v>
                </c:pt>
                <c:pt idx="2">
                  <c:v>13.5</c:v>
                </c:pt>
                <c:pt idx="3">
                  <c:v>19.75</c:v>
                </c:pt>
                <c:pt idx="4">
                  <c:v>27</c:v>
                </c:pt>
              </c:numCache>
            </c:numRef>
          </c:xVal>
          <c:yVal>
            <c:numRef>
              <c:f>'2-PP-New'!$U$14:$Y$14</c:f>
              <c:numCache>
                <c:formatCode>0.00</c:formatCode>
                <c:ptCount val="5"/>
                <c:pt idx="0">
                  <c:v>1.5996676163342831</c:v>
                </c:pt>
                <c:pt idx="1">
                  <c:v>1.0627255460588794</c:v>
                </c:pt>
                <c:pt idx="2">
                  <c:v>0.80688509021842358</c:v>
                </c:pt>
                <c:pt idx="3">
                  <c:v>1.4032763532763532</c:v>
                </c:pt>
                <c:pt idx="4">
                  <c:v>1.1750237416904084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5C-47BB-ACDA-FF5B7CB293A0}"/>
            </c:ext>
          </c:extLst>
        </c:ser>
        <c:ser>
          <c:idx val="1"/>
          <c:order val="1"/>
          <c:tx>
            <c:strRef>
              <c:f>'2-PP-New'!$T$15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'2-PP-New'!$U$18:$Y$18</c:f>
                <c:numCache>
                  <c:formatCode>General</c:formatCode>
                  <c:ptCount val="5"/>
                  <c:pt idx="0">
                    <c:v>0.16600278896713003</c:v>
                  </c:pt>
                  <c:pt idx="1">
                    <c:v>2.4187784372333862E-2</c:v>
                  </c:pt>
                  <c:pt idx="2">
                    <c:v>0.26492811383374282</c:v>
                  </c:pt>
                  <c:pt idx="3">
                    <c:v>9.2258376045282101E-2</c:v>
                  </c:pt>
                  <c:pt idx="4">
                    <c:v>0.1816616785409525</c:v>
                  </c:pt>
                </c:numCache>
              </c:numRef>
            </c:plus>
            <c:minus>
              <c:numRef>
                <c:f>'2-PP-New'!$U$18:$Y$18</c:f>
                <c:numCache>
                  <c:formatCode>General</c:formatCode>
                  <c:ptCount val="5"/>
                  <c:pt idx="0">
                    <c:v>0.16600278896713003</c:v>
                  </c:pt>
                  <c:pt idx="1">
                    <c:v>2.4187784372333862E-2</c:v>
                  </c:pt>
                  <c:pt idx="2">
                    <c:v>0.26492811383374282</c:v>
                  </c:pt>
                  <c:pt idx="3">
                    <c:v>9.2258376045282101E-2</c:v>
                  </c:pt>
                  <c:pt idx="4">
                    <c:v>0.1816616785409525</c:v>
                  </c:pt>
                </c:numCache>
              </c:numRef>
            </c:minus>
          </c:errBars>
          <c:xVal>
            <c:numRef>
              <c:f>'2-PP-New'!$U$13:$Y$13</c:f>
              <c:numCache>
                <c:formatCode>General</c:formatCode>
                <c:ptCount val="5"/>
                <c:pt idx="0">
                  <c:v>0</c:v>
                </c:pt>
                <c:pt idx="1">
                  <c:v>3.5</c:v>
                </c:pt>
                <c:pt idx="2">
                  <c:v>13.5</c:v>
                </c:pt>
                <c:pt idx="3">
                  <c:v>19.75</c:v>
                </c:pt>
                <c:pt idx="4">
                  <c:v>27</c:v>
                </c:pt>
              </c:numCache>
            </c:numRef>
          </c:xVal>
          <c:yVal>
            <c:numRef>
              <c:f>'2-PP-New'!$U$15:$Y$15</c:f>
              <c:numCache>
                <c:formatCode>0.00</c:formatCode>
                <c:ptCount val="5"/>
                <c:pt idx="0">
                  <c:v>1.4384615384615385</c:v>
                </c:pt>
                <c:pt idx="1">
                  <c:v>0.54995251661918332</c:v>
                </c:pt>
                <c:pt idx="2">
                  <c:v>1.1471035137701804</c:v>
                </c:pt>
                <c:pt idx="3">
                  <c:v>0.95223171889838565</c:v>
                </c:pt>
                <c:pt idx="4">
                  <c:v>1.2170465337132006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95C-47BB-ACDA-FF5B7CB29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729152"/>
        <c:axId val="141735424"/>
      </c:scatterChart>
      <c:valAx>
        <c:axId val="14172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1735424"/>
        <c:crosses val="autoZero"/>
        <c:crossBetween val="midCat"/>
      </c:valAx>
      <c:valAx>
        <c:axId val="14173542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Picophytoplankton (x10</a:t>
                </a:r>
                <a:r>
                  <a:rPr lang="en-CA" baseline="30000"/>
                  <a:t>4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141729152"/>
        <c:crosses val="autoZero"/>
        <c:crossBetween val="midCat"/>
        <c:majorUnit val="0.5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CA" sz="2000"/>
              <a:t>SI</a:t>
            </a:r>
          </a:p>
        </c:rich>
      </c:tx>
      <c:layout>
        <c:manualLayout>
          <c:xMode val="edge"/>
          <c:yMode val="edge"/>
          <c:x val="3.4701443569553847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'1-NH4'!$N$14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'1-NH4'!$O$17:$S$17</c:f>
                <c:numCache>
                  <c:formatCode>General</c:formatCode>
                  <c:ptCount val="5"/>
                  <c:pt idx="0">
                    <c:v>5.9803884051876574E-3</c:v>
                  </c:pt>
                  <c:pt idx="1">
                    <c:v>4.1676799176998007E-2</c:v>
                  </c:pt>
                  <c:pt idx="2">
                    <c:v>1.2526003535647092E-2</c:v>
                  </c:pt>
                  <c:pt idx="3">
                    <c:v>1.1314874168108693E-2</c:v>
                  </c:pt>
                  <c:pt idx="4">
                    <c:v>5.4956296421885438E-3</c:v>
                  </c:pt>
                </c:numCache>
              </c:numRef>
            </c:plus>
            <c:minus>
              <c:numRef>
                <c:f>'1-NH4'!$O$17:$S$17</c:f>
                <c:numCache>
                  <c:formatCode>General</c:formatCode>
                  <c:ptCount val="5"/>
                  <c:pt idx="0">
                    <c:v>5.9803884051876574E-3</c:v>
                  </c:pt>
                  <c:pt idx="1">
                    <c:v>4.1676799176998007E-2</c:v>
                  </c:pt>
                  <c:pt idx="2">
                    <c:v>1.2526003535647092E-2</c:v>
                  </c:pt>
                  <c:pt idx="3">
                    <c:v>1.1314874168108693E-2</c:v>
                  </c:pt>
                  <c:pt idx="4">
                    <c:v>5.4956296421885438E-3</c:v>
                  </c:pt>
                </c:numCache>
              </c:numRef>
            </c:minus>
          </c:errBars>
          <c:xVal>
            <c:numRef>
              <c:f>'1-NH4'!$O$13:$S$13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'1-NH4'!$O$14:$S$14</c:f>
              <c:numCache>
                <c:formatCode>General</c:formatCode>
                <c:ptCount val="5"/>
                <c:pt idx="0">
                  <c:v>0.80553334590483372</c:v>
                </c:pt>
                <c:pt idx="1">
                  <c:v>0.43530265887233649</c:v>
                </c:pt>
                <c:pt idx="2">
                  <c:v>0.17639260795775977</c:v>
                </c:pt>
                <c:pt idx="3">
                  <c:v>0.1305694889685084</c:v>
                </c:pt>
                <c:pt idx="4">
                  <c:v>0.10492362813501792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1E-495D-82E2-1D4B11D8DD43}"/>
            </c:ext>
          </c:extLst>
        </c:ser>
        <c:ser>
          <c:idx val="1"/>
          <c:order val="1"/>
          <c:tx>
            <c:strRef>
              <c:f>'1-NH4'!$N$15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'1-NH4'!$O$18:$S$18</c:f>
                <c:numCache>
                  <c:formatCode>General</c:formatCode>
                  <c:ptCount val="5"/>
                  <c:pt idx="0">
                    <c:v>1.1719342559966853E-2</c:v>
                  </c:pt>
                  <c:pt idx="1">
                    <c:v>1.0536649906715285E-2</c:v>
                  </c:pt>
                  <c:pt idx="2">
                    <c:v>1.2054063052841235E-2</c:v>
                  </c:pt>
                  <c:pt idx="3">
                    <c:v>7.3457268118843726E-3</c:v>
                  </c:pt>
                  <c:pt idx="4">
                    <c:v>2.1855979195064073E-3</c:v>
                  </c:pt>
                </c:numCache>
              </c:numRef>
            </c:plus>
            <c:minus>
              <c:numRef>
                <c:f>'1-NH4'!$O$18:$S$18</c:f>
                <c:numCache>
                  <c:formatCode>General</c:formatCode>
                  <c:ptCount val="5"/>
                  <c:pt idx="0">
                    <c:v>1.1719342559966853E-2</c:v>
                  </c:pt>
                  <c:pt idx="1">
                    <c:v>1.0536649906715285E-2</c:v>
                  </c:pt>
                  <c:pt idx="2">
                    <c:v>1.2054063052841235E-2</c:v>
                  </c:pt>
                  <c:pt idx="3">
                    <c:v>7.3457268118843726E-3</c:v>
                  </c:pt>
                  <c:pt idx="4">
                    <c:v>2.1855979195064073E-3</c:v>
                  </c:pt>
                </c:numCache>
              </c:numRef>
            </c:minus>
          </c:errBars>
          <c:xVal>
            <c:numRef>
              <c:f>'1-NH4'!$O$13:$S$13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'1-NH4'!$O$15:$S$15</c:f>
              <c:numCache>
                <c:formatCode>General</c:formatCode>
                <c:ptCount val="5"/>
                <c:pt idx="0">
                  <c:v>0.54146897982274178</c:v>
                </c:pt>
                <c:pt idx="1">
                  <c:v>0.17764975799861715</c:v>
                </c:pt>
                <c:pt idx="2">
                  <c:v>4.2191841096234833E-2</c:v>
                </c:pt>
                <c:pt idx="3">
                  <c:v>2.8614620654975175E-2</c:v>
                </c:pt>
                <c:pt idx="4">
                  <c:v>3.477465585517632E-2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1E-495D-82E2-1D4B11D8D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611520"/>
        <c:axId val="139613696"/>
      </c:scatterChart>
      <c:valAx>
        <c:axId val="13961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613696"/>
        <c:crosses val="autoZero"/>
        <c:crossBetween val="midCat"/>
      </c:valAx>
      <c:valAx>
        <c:axId val="139613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Ammonium (µmol l-1)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9611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t4-t0 increase (neg=decrease)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'2-PP-New'!$Z$14</c:f>
              <c:strCache>
                <c:ptCount val="1"/>
                <c:pt idx="0">
                  <c:v>SW+L</c:v>
                </c:pt>
              </c:strCache>
            </c:strRef>
          </c:tx>
          <c:invertIfNegative val="0"/>
          <c:cat>
            <c:strRef>
              <c:f>'2-PP-New'!$AA$13:$AD$13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'2-PP-New'!$AA$14:$AD$14</c:f>
              <c:numCache>
                <c:formatCode>0.00</c:formatCode>
                <c:ptCount val="4"/>
                <c:pt idx="0">
                  <c:v>-0.30237416904083575</c:v>
                </c:pt>
                <c:pt idx="1">
                  <c:v>-0.12777777777777777</c:v>
                </c:pt>
                <c:pt idx="2">
                  <c:v>2.564102564102555E-3</c:v>
                </c:pt>
                <c:pt idx="3">
                  <c:v>2.9439696106362753E-3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C-4D6F-866D-B10E49E6DC49}"/>
            </c:ext>
          </c:extLst>
        </c:ser>
        <c:ser>
          <c:idx val="1"/>
          <c:order val="1"/>
          <c:tx>
            <c:strRef>
              <c:f>'2-PP-New'!$Z$15</c:f>
              <c:strCache>
                <c:ptCount val="1"/>
                <c:pt idx="0">
                  <c:v>SW</c:v>
                </c:pt>
              </c:strCache>
            </c:strRef>
          </c:tx>
          <c:invertIfNegative val="0"/>
          <c:cat>
            <c:strRef>
              <c:f>'2-PP-New'!$AA$13:$AD$13</c:f>
              <c:strCache>
                <c:ptCount val="4"/>
                <c:pt idx="0">
                  <c:v>R1</c:v>
                </c:pt>
                <c:pt idx="1">
                  <c:v>R2</c:v>
                </c:pt>
                <c:pt idx="2">
                  <c:v>R3</c:v>
                </c:pt>
                <c:pt idx="3">
                  <c:v>R4</c:v>
                </c:pt>
              </c:strCache>
            </c:strRef>
          </c:cat>
          <c:val>
            <c:numRef>
              <c:f>'2-PP-New'!$AA$15:$AD$15</c:f>
              <c:numCache>
                <c:formatCode>0.00</c:formatCode>
                <c:ptCount val="4"/>
                <c:pt idx="0">
                  <c:v>-0.1737891737891738</c:v>
                </c:pt>
                <c:pt idx="1">
                  <c:v>-9.1595441595441598E-2</c:v>
                </c:pt>
                <c:pt idx="2">
                  <c:v>1.329534662867996E-2</c:v>
                </c:pt>
                <c:pt idx="3">
                  <c:v>3.0674264007597336E-2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AC-4D6F-866D-B10E49E6D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777536"/>
        <c:axId val="141787520"/>
      </c:barChart>
      <c:catAx>
        <c:axId val="14177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1787520"/>
        <c:crosses val="autoZero"/>
        <c:auto val="1"/>
        <c:lblAlgn val="ctr"/>
        <c:lblOffset val="100"/>
        <c:noMultiLvlLbl val="0"/>
      </c:catAx>
      <c:valAx>
        <c:axId val="141787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phytoplankton (x10^3/ml)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141777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'2-PP-New'!$AF$5</c:f>
              <c:strCache>
                <c:ptCount val="1"/>
                <c:pt idx="0">
                  <c:v>R1</c:v>
                </c:pt>
              </c:strCache>
            </c:strRef>
          </c:tx>
          <c:invertIfNegative val="0"/>
          <c:cat>
            <c:strRef>
              <c:f>'2-PP-New'!$AE$6:$AE$11</c:f>
              <c:strCache>
                <c:ptCount val="6"/>
                <c:pt idx="0">
                  <c:v>SL1</c:v>
                </c:pt>
                <c:pt idx="1">
                  <c:v>SL2</c:v>
                </c:pt>
                <c:pt idx="2">
                  <c:v>SL3</c:v>
                </c:pt>
                <c:pt idx="3">
                  <c:v>S1</c:v>
                </c:pt>
                <c:pt idx="4">
                  <c:v>S2</c:v>
                </c:pt>
                <c:pt idx="5">
                  <c:v>S3</c:v>
                </c:pt>
              </c:strCache>
            </c:strRef>
          </c:cat>
          <c:val>
            <c:numRef>
              <c:f>'2-PP-New'!$AF$6:$AF$11</c:f>
              <c:numCache>
                <c:formatCode>General</c:formatCode>
                <c:ptCount val="6"/>
                <c:pt idx="0">
                  <c:v>-1.6981172906297339</c:v>
                </c:pt>
                <c:pt idx="1">
                  <c:v>1.2155336721728081</c:v>
                </c:pt>
                <c:pt idx="2">
                  <c:v>-2.9284183454779256</c:v>
                </c:pt>
                <c:pt idx="3">
                  <c:v>-1.5212940212940211</c:v>
                </c:pt>
                <c:pt idx="4">
                  <c:v>1.278173190984579</c:v>
                </c:pt>
                <c:pt idx="5">
                  <c:v>-1.6233926805143424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B-445B-8CDE-649CA9366822}"/>
            </c:ext>
          </c:extLst>
        </c:ser>
        <c:ser>
          <c:idx val="1"/>
          <c:order val="1"/>
          <c:tx>
            <c:strRef>
              <c:f>'2-PP-New'!$AG$5</c:f>
              <c:strCache>
                <c:ptCount val="1"/>
                <c:pt idx="0">
                  <c:v>R2</c:v>
                </c:pt>
              </c:strCache>
            </c:strRef>
          </c:tx>
          <c:invertIfNegative val="0"/>
          <c:cat>
            <c:strRef>
              <c:f>'2-PP-New'!$AE$6:$AE$11</c:f>
              <c:strCache>
                <c:ptCount val="6"/>
                <c:pt idx="0">
                  <c:v>SL1</c:v>
                </c:pt>
                <c:pt idx="1">
                  <c:v>SL2</c:v>
                </c:pt>
                <c:pt idx="2">
                  <c:v>SL3</c:v>
                </c:pt>
                <c:pt idx="3">
                  <c:v>S1</c:v>
                </c:pt>
                <c:pt idx="4">
                  <c:v>S2</c:v>
                </c:pt>
                <c:pt idx="5">
                  <c:v>S3</c:v>
                </c:pt>
              </c:strCache>
            </c:strRef>
          </c:cat>
          <c:val>
            <c:numRef>
              <c:f>'2-PP-New'!$AG$6:$AG$11</c:f>
              <c:numCache>
                <c:formatCode>General</c:formatCode>
                <c:ptCount val="6"/>
                <c:pt idx="0">
                  <c:v>-1.5256143273635985</c:v>
                </c:pt>
                <c:pt idx="1">
                  <c:v>1.2821829855537723</c:v>
                </c:pt>
                <c:pt idx="2">
                  <c:v>-3.4091858037578291</c:v>
                </c:pt>
                <c:pt idx="3">
                  <c:v>-1.6983901515151514</c:v>
                </c:pt>
                <c:pt idx="4">
                  <c:v>1.3408374606033318</c:v>
                </c:pt>
                <c:pt idx="5">
                  <c:v>-1.7119341563786008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B-445B-8CDE-649CA9366822}"/>
            </c:ext>
          </c:extLst>
        </c:ser>
        <c:ser>
          <c:idx val="2"/>
          <c:order val="2"/>
          <c:tx>
            <c:strRef>
              <c:f>'2-PP-New'!$AH$5</c:f>
              <c:strCache>
                <c:ptCount val="1"/>
                <c:pt idx="0">
                  <c:v>R3</c:v>
                </c:pt>
              </c:strCache>
            </c:strRef>
          </c:tx>
          <c:invertIfNegative val="0"/>
          <c:cat>
            <c:strRef>
              <c:f>'2-PP-New'!$AE$6:$AE$11</c:f>
              <c:strCache>
                <c:ptCount val="6"/>
                <c:pt idx="0">
                  <c:v>SL1</c:v>
                </c:pt>
                <c:pt idx="1">
                  <c:v>SL2</c:v>
                </c:pt>
                <c:pt idx="2">
                  <c:v>SL3</c:v>
                </c:pt>
                <c:pt idx="3">
                  <c:v>S1</c:v>
                </c:pt>
                <c:pt idx="4">
                  <c:v>S2</c:v>
                </c:pt>
                <c:pt idx="5">
                  <c:v>S3</c:v>
                </c:pt>
              </c:strCache>
            </c:strRef>
          </c:cat>
          <c:val>
            <c:numRef>
              <c:f>'2-PP-New'!$AH$6:$AH$11</c:f>
              <c:numCache>
                <c:formatCode>General</c:formatCode>
                <c:ptCount val="6"/>
                <c:pt idx="0">
                  <c:v>-1.087912087912088</c:v>
                </c:pt>
                <c:pt idx="1">
                  <c:v>1.9885277246653916</c:v>
                </c:pt>
                <c:pt idx="2">
                  <c:v>-2.7735042735042734</c:v>
                </c:pt>
                <c:pt idx="3">
                  <c:v>-1.1475694444444446</c:v>
                </c:pt>
                <c:pt idx="4">
                  <c:v>1.8926315789473684</c:v>
                </c:pt>
                <c:pt idx="5">
                  <c:v>-1.1150097465886939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DB-445B-8CDE-649CA9366822}"/>
            </c:ext>
          </c:extLst>
        </c:ser>
        <c:ser>
          <c:idx val="3"/>
          <c:order val="3"/>
          <c:tx>
            <c:strRef>
              <c:f>'2-PP-New'!$AI$5</c:f>
              <c:strCache>
                <c:ptCount val="1"/>
                <c:pt idx="0">
                  <c:v>R4</c:v>
                </c:pt>
              </c:strCache>
            </c:strRef>
          </c:tx>
          <c:invertIfNegative val="0"/>
          <c:cat>
            <c:strRef>
              <c:f>'2-PP-New'!$AE$6:$AE$11</c:f>
              <c:strCache>
                <c:ptCount val="6"/>
                <c:pt idx="0">
                  <c:v>SL1</c:v>
                </c:pt>
                <c:pt idx="1">
                  <c:v>SL2</c:v>
                </c:pt>
                <c:pt idx="2">
                  <c:v>SL3</c:v>
                </c:pt>
                <c:pt idx="3">
                  <c:v>S1</c:v>
                </c:pt>
                <c:pt idx="4">
                  <c:v>S2</c:v>
                </c:pt>
                <c:pt idx="5">
                  <c:v>S3</c:v>
                </c:pt>
              </c:strCache>
            </c:strRef>
          </c:cat>
          <c:val>
            <c:numRef>
              <c:f>'2-PP-New'!$AI$6:$AI$11</c:f>
              <c:numCache>
                <c:formatCode>General</c:formatCode>
                <c:ptCount val="6"/>
                <c:pt idx="0">
                  <c:v>-1.1618122977346279</c:v>
                </c:pt>
                <c:pt idx="1">
                  <c:v>2.14</c:v>
                </c:pt>
                <c:pt idx="2">
                  <c:v>-2.4180327868852465</c:v>
                </c:pt>
                <c:pt idx="3">
                  <c:v>1.4433333333333334</c:v>
                </c:pt>
                <c:pt idx="4">
                  <c:v>2.985781990521327</c:v>
                </c:pt>
                <c:pt idx="5">
                  <c:v>1.3112582781456952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DB-445B-8CDE-649CA9366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819264"/>
        <c:axId val="141886592"/>
      </c:barChart>
      <c:catAx>
        <c:axId val="141819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1886592"/>
        <c:crosses val="autoZero"/>
        <c:auto val="1"/>
        <c:lblAlgn val="ctr"/>
        <c:lblOffset val="100"/>
        <c:noMultiLvlLbl val="0"/>
      </c:catAx>
      <c:valAx>
        <c:axId val="141886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819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Lysate!$D$4:$D$8</c:f>
              <c:numCache>
                <c:formatCode>General</c:formatCode>
                <c:ptCount val="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</c:numCache>
            </c:numRef>
          </c:xVal>
          <c:yVal>
            <c:numRef>
              <c:f>Lysate!$E$4:$E$8</c:f>
              <c:numCache>
                <c:formatCode>General</c:formatCode>
                <c:ptCount val="5"/>
                <c:pt idx="0">
                  <c:v>21.3</c:v>
                </c:pt>
                <c:pt idx="1">
                  <c:v>35.5</c:v>
                </c:pt>
                <c:pt idx="2">
                  <c:v>38.9</c:v>
                </c:pt>
                <c:pt idx="3">
                  <c:v>65.55</c:v>
                </c:pt>
                <c:pt idx="4">
                  <c:v>89.9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1E-4A8D-8596-1BC09F083A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52800"/>
        <c:axId val="141454336"/>
      </c:scatterChart>
      <c:valAx>
        <c:axId val="14145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454336"/>
        <c:crosses val="autoZero"/>
        <c:crossBetween val="midCat"/>
      </c:valAx>
      <c:valAx>
        <c:axId val="141454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1452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Lysate!$D$12:$D$16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</c:numCache>
            </c:numRef>
          </c:xVal>
          <c:yVal>
            <c:numRef>
              <c:f>Lysate!$E$12:$E$16</c:f>
              <c:numCache>
                <c:formatCode>General</c:formatCode>
                <c:ptCount val="5"/>
                <c:pt idx="0">
                  <c:v>11.5</c:v>
                </c:pt>
                <c:pt idx="1">
                  <c:v>21.65</c:v>
                </c:pt>
                <c:pt idx="2">
                  <c:v>80.349999999999994</c:v>
                </c:pt>
                <c:pt idx="3">
                  <c:v>271.10000000000002</c:v>
                </c:pt>
                <c:pt idx="4">
                  <c:v>604.29999999999995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65-4C88-8D1F-0EAF08E1D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79296"/>
        <c:axId val="145724544"/>
      </c:scatterChart>
      <c:valAx>
        <c:axId val="14147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5724544"/>
        <c:crosses val="autoZero"/>
        <c:crossBetween val="midCat"/>
      </c:valAx>
      <c:valAx>
        <c:axId val="14572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14792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SI</a:t>
            </a:r>
          </a:p>
        </c:rich>
      </c:tx>
      <c:layout>
        <c:manualLayout>
          <c:xMode val="edge"/>
          <c:yMode val="edge"/>
          <c:x val="3.4701443569553805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'1-Bac'!$O$15</c:f>
              <c:strCache>
                <c:ptCount val="1"/>
                <c:pt idx="0">
                  <c:v>SW+Lys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'1-Bac'!$P$18:$T$18</c:f>
                <c:numCache>
                  <c:formatCode>General</c:formatCode>
                  <c:ptCount val="5"/>
                  <c:pt idx="0">
                    <c:v>8.0670859530602539E-3</c:v>
                  </c:pt>
                  <c:pt idx="1">
                    <c:v>0.17056124586470897</c:v>
                  </c:pt>
                  <c:pt idx="2">
                    <c:v>0.21610340239667084</c:v>
                  </c:pt>
                  <c:pt idx="3">
                    <c:v>1.261002547968318</c:v>
                  </c:pt>
                  <c:pt idx="4">
                    <c:v>0.33348978014033959</c:v>
                  </c:pt>
                </c:numCache>
              </c:numRef>
            </c:plus>
            <c:minus>
              <c:numRef>
                <c:f>'1-Bac'!$P$18:$T$18</c:f>
                <c:numCache>
                  <c:formatCode>General</c:formatCode>
                  <c:ptCount val="5"/>
                  <c:pt idx="0">
                    <c:v>8.0670859530602539E-3</c:v>
                  </c:pt>
                  <c:pt idx="1">
                    <c:v>0.17056124586470897</c:v>
                  </c:pt>
                  <c:pt idx="2">
                    <c:v>0.21610340239667084</c:v>
                  </c:pt>
                  <c:pt idx="3">
                    <c:v>1.261002547968318</c:v>
                  </c:pt>
                  <c:pt idx="4">
                    <c:v>0.33348978014033959</c:v>
                  </c:pt>
                </c:numCache>
              </c:numRef>
            </c:minus>
          </c:errBars>
          <c:xVal>
            <c:numRef>
              <c:f>'1-Bac'!$P$14:$T$14</c:f>
              <c:numCache>
                <c:formatCode>0.00</c:formatCode>
                <c:ptCount val="5"/>
                <c:pt idx="0" formatCode="0">
                  <c:v>0</c:v>
                </c:pt>
                <c:pt idx="1">
                  <c:v>6.25</c:v>
                </c:pt>
                <c:pt idx="2" formatCode="0">
                  <c:v>11</c:v>
                </c:pt>
                <c:pt idx="3" formatCode="0">
                  <c:v>21</c:v>
                </c:pt>
                <c:pt idx="4" formatCode="0">
                  <c:v>32</c:v>
                </c:pt>
              </c:numCache>
            </c:numRef>
          </c:xVal>
          <c:yVal>
            <c:numRef>
              <c:f>'1-Bac'!$P$15:$T$15</c:f>
              <c:numCache>
                <c:formatCode>0.00</c:formatCode>
                <c:ptCount val="5"/>
                <c:pt idx="0">
                  <c:v>11.28454011741683</c:v>
                </c:pt>
                <c:pt idx="1">
                  <c:v>16.243483365949121</c:v>
                </c:pt>
                <c:pt idx="2">
                  <c:v>27.162739726027397</c:v>
                </c:pt>
                <c:pt idx="3">
                  <c:v>71.211702544031311</c:v>
                </c:pt>
                <c:pt idx="4">
                  <c:v>14.126301369863015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8C-4EBE-9988-4D9E78F5745A}"/>
            </c:ext>
          </c:extLst>
        </c:ser>
        <c:ser>
          <c:idx val="1"/>
          <c:order val="1"/>
          <c:tx>
            <c:strRef>
              <c:f>'1-Bac'!$O$16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'1-Bac'!$P$19:$T$19</c:f>
                <c:numCache>
                  <c:formatCode>General</c:formatCode>
                  <c:ptCount val="5"/>
                  <c:pt idx="0">
                    <c:v>5.4919580516798142E-2</c:v>
                  </c:pt>
                  <c:pt idx="1">
                    <c:v>0.24203178517718785</c:v>
                  </c:pt>
                  <c:pt idx="2">
                    <c:v>0.1816474914150091</c:v>
                  </c:pt>
                  <c:pt idx="3">
                    <c:v>0.88271477576983071</c:v>
                  </c:pt>
                  <c:pt idx="4">
                    <c:v>3.3309661594719091</c:v>
                  </c:pt>
                </c:numCache>
              </c:numRef>
            </c:plus>
            <c:minus>
              <c:numRef>
                <c:f>'1-Bac'!$P$19:$T$19</c:f>
                <c:numCache>
                  <c:formatCode>General</c:formatCode>
                  <c:ptCount val="5"/>
                  <c:pt idx="0">
                    <c:v>5.4919580516798142E-2</c:v>
                  </c:pt>
                  <c:pt idx="1">
                    <c:v>0.24203178517718785</c:v>
                  </c:pt>
                  <c:pt idx="2">
                    <c:v>0.1816474914150091</c:v>
                  </c:pt>
                  <c:pt idx="3">
                    <c:v>0.88271477576983071</c:v>
                  </c:pt>
                  <c:pt idx="4">
                    <c:v>3.3309661594719091</c:v>
                  </c:pt>
                </c:numCache>
              </c:numRef>
            </c:minus>
          </c:errBars>
          <c:xVal>
            <c:numRef>
              <c:f>'1-Bac'!$P$14:$T$14</c:f>
              <c:numCache>
                <c:formatCode>0.00</c:formatCode>
                <c:ptCount val="5"/>
                <c:pt idx="0" formatCode="0">
                  <c:v>0</c:v>
                </c:pt>
                <c:pt idx="1">
                  <c:v>6.25</c:v>
                </c:pt>
                <c:pt idx="2" formatCode="0">
                  <c:v>11</c:v>
                </c:pt>
                <c:pt idx="3" formatCode="0">
                  <c:v>21</c:v>
                </c:pt>
                <c:pt idx="4" formatCode="0">
                  <c:v>32</c:v>
                </c:pt>
              </c:numCache>
            </c:numRef>
          </c:xVal>
          <c:yVal>
            <c:numRef>
              <c:f>'1-Bac'!$P$16:$T$16</c:f>
              <c:numCache>
                <c:formatCode>0.00</c:formatCode>
                <c:ptCount val="5"/>
                <c:pt idx="0">
                  <c:v>11.563326810176124</c:v>
                </c:pt>
                <c:pt idx="1">
                  <c:v>14.480273972602738</c:v>
                </c:pt>
                <c:pt idx="2">
                  <c:v>20.271585127201565</c:v>
                </c:pt>
                <c:pt idx="3">
                  <c:v>32.618043052837571</c:v>
                </c:pt>
                <c:pt idx="4">
                  <c:v>33.938121330724073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8C-4EBE-9988-4D9E78F57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04576"/>
        <c:axId val="139710848"/>
      </c:scatterChart>
      <c:scatterChart>
        <c:scatterStyle val="lineMarker"/>
        <c:varyColors val="0"/>
        <c:ser>
          <c:idx val="2"/>
          <c:order val="2"/>
          <c:tx>
            <c:v>SW+L Virus</c:v>
          </c:tx>
          <c:spPr>
            <a:ln>
              <a:solidFill>
                <a:sysClr val="windowText" lastClr="000000">
                  <a:lumMod val="50000"/>
                  <a:lumOff val="50000"/>
                </a:sysClr>
              </a:solidFill>
              <a:prstDash val="sysDot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'1-Vir'!$R$19:$V$19</c:f>
                <c:numCache>
                  <c:formatCode>General</c:formatCode>
                  <c:ptCount val="5"/>
                  <c:pt idx="0">
                    <c:v>7.1933085020803222</c:v>
                  </c:pt>
                  <c:pt idx="1">
                    <c:v>5.4800069753642555</c:v>
                  </c:pt>
                  <c:pt idx="2">
                    <c:v>14.796585053298253</c:v>
                  </c:pt>
                  <c:pt idx="3">
                    <c:v>2.6391555080543818</c:v>
                  </c:pt>
                  <c:pt idx="4">
                    <c:v>9.0344582901020125</c:v>
                  </c:pt>
                </c:numCache>
              </c:numRef>
            </c:plus>
            <c:minus>
              <c:numRef>
                <c:f>'1-Vir'!$R$19:$V$19</c:f>
                <c:numCache>
                  <c:formatCode>General</c:formatCode>
                  <c:ptCount val="5"/>
                  <c:pt idx="0">
                    <c:v>7.1933085020803222</c:v>
                  </c:pt>
                  <c:pt idx="1">
                    <c:v>5.4800069753642555</c:v>
                  </c:pt>
                  <c:pt idx="2">
                    <c:v>14.796585053298253</c:v>
                  </c:pt>
                  <c:pt idx="3">
                    <c:v>2.6391555080543818</c:v>
                  </c:pt>
                  <c:pt idx="4">
                    <c:v>9.0344582901020125</c:v>
                  </c:pt>
                </c:numCache>
              </c:numRef>
            </c:minus>
          </c:errBars>
          <c:xVal>
            <c:numRef>
              <c:f>'1-Vir'!$R$15:$V$15</c:f>
              <c:numCache>
                <c:formatCode>0.00</c:formatCode>
                <c:ptCount val="5"/>
                <c:pt idx="0" formatCode="0">
                  <c:v>0</c:v>
                </c:pt>
                <c:pt idx="1">
                  <c:v>6.25</c:v>
                </c:pt>
                <c:pt idx="2" formatCode="0">
                  <c:v>11</c:v>
                </c:pt>
                <c:pt idx="3" formatCode="0">
                  <c:v>21</c:v>
                </c:pt>
                <c:pt idx="4" formatCode="0">
                  <c:v>32</c:v>
                </c:pt>
              </c:numCache>
            </c:numRef>
          </c:xVal>
          <c:yVal>
            <c:numRef>
              <c:f>'1-Vir'!$R$16:$V$16</c:f>
              <c:numCache>
                <c:formatCode>0.00</c:formatCode>
                <c:ptCount val="5"/>
                <c:pt idx="0">
                  <c:v>66.295662100456624</c:v>
                </c:pt>
                <c:pt idx="1">
                  <c:v>162.84191128506197</c:v>
                </c:pt>
                <c:pt idx="2">
                  <c:v>189.41617742987606</c:v>
                </c:pt>
                <c:pt idx="3">
                  <c:v>175.76174168297459</c:v>
                </c:pt>
                <c:pt idx="4">
                  <c:v>376.86572080887146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8C-4EBE-9988-4D9E78F57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23136"/>
        <c:axId val="139712768"/>
      </c:scatterChart>
      <c:valAx>
        <c:axId val="13970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39710848"/>
        <c:crosses val="autoZero"/>
        <c:crossBetween val="midCat"/>
      </c:valAx>
      <c:valAx>
        <c:axId val="139710848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Bacteria (x10</a:t>
                </a:r>
                <a:r>
                  <a:rPr lang="en-CA" baseline="30000"/>
                  <a:t>5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9704576"/>
        <c:crosses val="autoZero"/>
        <c:crossBetween val="midCat"/>
      </c:valAx>
      <c:valAx>
        <c:axId val="1397127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Viruses (x10</a:t>
                </a:r>
                <a:r>
                  <a:rPr lang="en-CA" baseline="30000"/>
                  <a:t>6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39723136"/>
        <c:crosses val="max"/>
        <c:crossBetween val="midCat"/>
      </c:valAx>
      <c:valAx>
        <c:axId val="139723136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39712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'1-Vir'!$Q$16</c:f>
              <c:strCache>
                <c:ptCount val="1"/>
                <c:pt idx="0">
                  <c:v>SW+Lys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'1-Vir'!$R$19:$V$19</c:f>
                <c:numCache>
                  <c:formatCode>General</c:formatCode>
                  <c:ptCount val="5"/>
                  <c:pt idx="0">
                    <c:v>7.1933085020803222</c:v>
                  </c:pt>
                  <c:pt idx="1">
                    <c:v>5.4800069753642555</c:v>
                  </c:pt>
                  <c:pt idx="2">
                    <c:v>14.796585053298253</c:v>
                  </c:pt>
                  <c:pt idx="3">
                    <c:v>2.6391555080543818</c:v>
                  </c:pt>
                  <c:pt idx="4">
                    <c:v>9.0344582901020125</c:v>
                  </c:pt>
                </c:numCache>
              </c:numRef>
            </c:plus>
            <c:minus>
              <c:numRef>
                <c:f>'1-Vir'!$R$19:$V$19</c:f>
                <c:numCache>
                  <c:formatCode>General</c:formatCode>
                  <c:ptCount val="5"/>
                  <c:pt idx="0">
                    <c:v>7.1933085020803222</c:v>
                  </c:pt>
                  <c:pt idx="1">
                    <c:v>5.4800069753642555</c:v>
                  </c:pt>
                  <c:pt idx="2">
                    <c:v>14.796585053298253</c:v>
                  </c:pt>
                  <c:pt idx="3">
                    <c:v>2.6391555080543818</c:v>
                  </c:pt>
                  <c:pt idx="4">
                    <c:v>9.0344582901020125</c:v>
                  </c:pt>
                </c:numCache>
              </c:numRef>
            </c:minus>
          </c:errBars>
          <c:xVal>
            <c:numRef>
              <c:f>'1-Vir'!$R$15:$V$15</c:f>
              <c:numCache>
                <c:formatCode>0.00</c:formatCode>
                <c:ptCount val="5"/>
                <c:pt idx="0" formatCode="0">
                  <c:v>0</c:v>
                </c:pt>
                <c:pt idx="1">
                  <c:v>6.25</c:v>
                </c:pt>
                <c:pt idx="2" formatCode="0">
                  <c:v>11</c:v>
                </c:pt>
                <c:pt idx="3" formatCode="0">
                  <c:v>21</c:v>
                </c:pt>
                <c:pt idx="4" formatCode="0">
                  <c:v>32</c:v>
                </c:pt>
              </c:numCache>
            </c:numRef>
          </c:xVal>
          <c:yVal>
            <c:numRef>
              <c:f>'1-Vir'!$R$16:$V$16</c:f>
              <c:numCache>
                <c:formatCode>0.00</c:formatCode>
                <c:ptCount val="5"/>
                <c:pt idx="0">
                  <c:v>66.295662100456624</c:v>
                </c:pt>
                <c:pt idx="1">
                  <c:v>162.84191128506197</c:v>
                </c:pt>
                <c:pt idx="2">
                  <c:v>189.41617742987606</c:v>
                </c:pt>
                <c:pt idx="3">
                  <c:v>175.76174168297459</c:v>
                </c:pt>
                <c:pt idx="4">
                  <c:v>376.86572080887146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F2-429B-859C-785C58DB86C0}"/>
            </c:ext>
          </c:extLst>
        </c:ser>
        <c:ser>
          <c:idx val="1"/>
          <c:order val="1"/>
          <c:tx>
            <c:strRef>
              <c:f>'1-Vir'!$Q$17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pPr>
              <a:ln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'1-Vir'!$R$20:$V$20</c:f>
                <c:numCache>
                  <c:formatCode>General</c:formatCode>
                  <c:ptCount val="5"/>
                  <c:pt idx="0">
                    <c:v>1.3640152772038234</c:v>
                  </c:pt>
                  <c:pt idx="1">
                    <c:v>4.7110895329904032</c:v>
                  </c:pt>
                  <c:pt idx="2">
                    <c:v>0.24349511970405421</c:v>
                  </c:pt>
                  <c:pt idx="3">
                    <c:v>0.42948867109812777</c:v>
                  </c:pt>
                  <c:pt idx="4">
                    <c:v>0.15945534249163346</c:v>
                  </c:pt>
                </c:numCache>
              </c:numRef>
            </c:plus>
            <c:minus>
              <c:numRef>
                <c:f>'1-Vir'!$R$20:$V$20</c:f>
                <c:numCache>
                  <c:formatCode>General</c:formatCode>
                  <c:ptCount val="5"/>
                  <c:pt idx="0">
                    <c:v>1.3640152772038234</c:v>
                  </c:pt>
                  <c:pt idx="1">
                    <c:v>4.7110895329904032</c:v>
                  </c:pt>
                  <c:pt idx="2">
                    <c:v>0.24349511970405421</c:v>
                  </c:pt>
                  <c:pt idx="3">
                    <c:v>0.42948867109812777</c:v>
                  </c:pt>
                  <c:pt idx="4">
                    <c:v>0.15945534249163346</c:v>
                  </c:pt>
                </c:numCache>
              </c:numRef>
            </c:minus>
          </c:errBars>
          <c:xVal>
            <c:numRef>
              <c:f>'1-Vir'!$R$15:$V$15</c:f>
              <c:numCache>
                <c:formatCode>0.00</c:formatCode>
                <c:ptCount val="5"/>
                <c:pt idx="0" formatCode="0">
                  <c:v>0</c:v>
                </c:pt>
                <c:pt idx="1">
                  <c:v>6.25</c:v>
                </c:pt>
                <c:pt idx="2" formatCode="0">
                  <c:v>11</c:v>
                </c:pt>
                <c:pt idx="3" formatCode="0">
                  <c:v>21</c:v>
                </c:pt>
                <c:pt idx="4" formatCode="0">
                  <c:v>32</c:v>
                </c:pt>
              </c:numCache>
            </c:numRef>
          </c:xVal>
          <c:yVal>
            <c:numRef>
              <c:f>'1-Vir'!$R$17:$V$17</c:f>
              <c:numCache>
                <c:formatCode>0.00</c:formatCode>
                <c:ptCount val="5"/>
                <c:pt idx="0">
                  <c:v>15.887899543378998</c:v>
                </c:pt>
                <c:pt idx="1">
                  <c:v>18.959406392694067</c:v>
                </c:pt>
                <c:pt idx="2">
                  <c:v>28.785329419439009</c:v>
                </c:pt>
                <c:pt idx="3">
                  <c:v>28.134396607958251</c:v>
                </c:pt>
                <c:pt idx="4">
                  <c:v>52.104272667971294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F2-429B-859C-785C58DB8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66016"/>
        <c:axId val="139771904"/>
      </c:scatterChart>
      <c:valAx>
        <c:axId val="1397660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39771904"/>
        <c:crosses val="autoZero"/>
        <c:crossBetween val="midCat"/>
      </c:valAx>
      <c:valAx>
        <c:axId val="13977190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crossAx val="1397660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'1-PP'!$S$17</c:f>
              <c:strCache>
                <c:ptCount val="1"/>
                <c:pt idx="0">
                  <c:v>SW+Lys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'1-PP'!$T$20:$X$20</c:f>
                <c:numCache>
                  <c:formatCode>General</c:formatCode>
                  <c:ptCount val="5"/>
                  <c:pt idx="0">
                    <c:v>1.9162159073987663</c:v>
                  </c:pt>
                  <c:pt idx="1">
                    <c:v>3.600967335819123</c:v>
                  </c:pt>
                  <c:pt idx="2">
                    <c:v>1.7558496491247708</c:v>
                  </c:pt>
                  <c:pt idx="3">
                    <c:v>2.3045774001166435</c:v>
                  </c:pt>
                  <c:pt idx="4">
                    <c:v>4.6355007380529125</c:v>
                  </c:pt>
                </c:numCache>
              </c:numRef>
            </c:plus>
            <c:minus>
              <c:numRef>
                <c:f>'1-PP'!$T$20:$X$20</c:f>
                <c:numCache>
                  <c:formatCode>General</c:formatCode>
                  <c:ptCount val="5"/>
                  <c:pt idx="0">
                    <c:v>1.9162159073987663</c:v>
                  </c:pt>
                  <c:pt idx="1">
                    <c:v>3.600967335819123</c:v>
                  </c:pt>
                  <c:pt idx="2">
                    <c:v>1.7558496491247708</c:v>
                  </c:pt>
                  <c:pt idx="3">
                    <c:v>2.3045774001166435</c:v>
                  </c:pt>
                  <c:pt idx="4">
                    <c:v>4.6355007380529125</c:v>
                  </c:pt>
                </c:numCache>
              </c:numRef>
            </c:minus>
          </c:errBars>
          <c:xVal>
            <c:numRef>
              <c:f>'1-PP'!$T$16:$X$16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'1-PP'!$T$17:$X$17</c:f>
              <c:numCache>
                <c:formatCode>0.00</c:formatCode>
                <c:ptCount val="5"/>
                <c:pt idx="0">
                  <c:v>7.2445712758212757</c:v>
                </c:pt>
                <c:pt idx="1">
                  <c:v>7.2647135772135769</c:v>
                </c:pt>
                <c:pt idx="2">
                  <c:v>7.3212331649831652</c:v>
                </c:pt>
                <c:pt idx="3">
                  <c:v>6.0893720424970423</c:v>
                </c:pt>
                <c:pt idx="4">
                  <c:v>9.2615399490399479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84-47AF-B12F-C8546F1C9DC7}"/>
            </c:ext>
          </c:extLst>
        </c:ser>
        <c:ser>
          <c:idx val="1"/>
          <c:order val="1"/>
          <c:tx>
            <c:strRef>
              <c:f>'1-PP'!$S$18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noFill/>
            </a:ln>
          </c:spPr>
          <c:errBars>
            <c:errDir val="y"/>
            <c:errBarType val="both"/>
            <c:errValType val="cust"/>
            <c:noEndCap val="0"/>
            <c:plus>
              <c:numRef>
                <c:f>'1-PP'!$T$21:$X$21</c:f>
                <c:numCache>
                  <c:formatCode>General</c:formatCode>
                  <c:ptCount val="5"/>
                  <c:pt idx="0">
                    <c:v>2.5118732647534854</c:v>
                  </c:pt>
                  <c:pt idx="1">
                    <c:v>3.185076495132793</c:v>
                  </c:pt>
                  <c:pt idx="2">
                    <c:v>1.6201876097457584</c:v>
                  </c:pt>
                  <c:pt idx="3">
                    <c:v>5.162309194828393</c:v>
                  </c:pt>
                  <c:pt idx="4">
                    <c:v>3.1405733614861946</c:v>
                  </c:pt>
                </c:numCache>
              </c:numRef>
            </c:plus>
            <c:minus>
              <c:numRef>
                <c:f>'1-PP'!$T$21:$X$21</c:f>
                <c:numCache>
                  <c:formatCode>General</c:formatCode>
                  <c:ptCount val="5"/>
                  <c:pt idx="0">
                    <c:v>2.5118732647534854</c:v>
                  </c:pt>
                  <c:pt idx="1">
                    <c:v>3.185076495132793</c:v>
                  </c:pt>
                  <c:pt idx="2">
                    <c:v>1.6201876097457584</c:v>
                  </c:pt>
                  <c:pt idx="3">
                    <c:v>5.162309194828393</c:v>
                  </c:pt>
                  <c:pt idx="4">
                    <c:v>3.1405733614861946</c:v>
                  </c:pt>
                </c:numCache>
              </c:numRef>
            </c:minus>
          </c:errBars>
          <c:xVal>
            <c:numRef>
              <c:f>'1-PP'!$T$16:$X$16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'1-PP'!$T$18:$X$18</c:f>
              <c:numCache>
                <c:formatCode>0.00</c:formatCode>
                <c:ptCount val="5"/>
                <c:pt idx="0">
                  <c:v>6.5793563449813446</c:v>
                </c:pt>
                <c:pt idx="1">
                  <c:v>7.725225225225226</c:v>
                </c:pt>
                <c:pt idx="2">
                  <c:v>6.8063063063063058</c:v>
                </c:pt>
                <c:pt idx="3">
                  <c:v>7.6706706706706695</c:v>
                </c:pt>
                <c:pt idx="4">
                  <c:v>7.5330330330330337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84-47AF-B12F-C8546F1C9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445760"/>
        <c:axId val="139447296"/>
      </c:scatterChart>
      <c:valAx>
        <c:axId val="13944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447296"/>
        <c:crosses val="autoZero"/>
        <c:crossBetween val="midCat"/>
      </c:valAx>
      <c:valAx>
        <c:axId val="139447296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139445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'1-PP'!$S$9</c:f>
              <c:strCache>
                <c:ptCount val="1"/>
                <c:pt idx="0">
                  <c:v>1a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pPr>
              <a:ln>
                <a:solidFill>
                  <a:schemeClr val="accent1"/>
                </a:solidFill>
              </a:ln>
            </c:spPr>
          </c:marker>
          <c:xVal>
            <c:numRef>
              <c:f>'1-PP'!$T$8:$X$8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'1-PP'!$T$9:$X$9</c:f>
              <c:numCache>
                <c:formatCode>0.00</c:formatCode>
                <c:ptCount val="5"/>
                <c:pt idx="0">
                  <c:v>6.0880681818181825</c:v>
                </c:pt>
                <c:pt idx="1">
                  <c:v>3.1079545454545454</c:v>
                </c:pt>
                <c:pt idx="2">
                  <c:v>7.7414772727272734</c:v>
                </c:pt>
                <c:pt idx="3">
                  <c:v>5.9588068181818183</c:v>
                </c:pt>
                <c:pt idx="4">
                  <c:v>4.3011363636363642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8-4628-9253-8AB774812F7A}"/>
            </c:ext>
          </c:extLst>
        </c:ser>
        <c:ser>
          <c:idx val="1"/>
          <c:order val="1"/>
          <c:tx>
            <c:strRef>
              <c:f>'1-PP'!$S$10</c:f>
              <c:strCache>
                <c:ptCount val="1"/>
                <c:pt idx="0">
                  <c:v>1b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pPr>
              <a:ln>
                <a:solidFill>
                  <a:schemeClr val="accent2"/>
                </a:solidFill>
              </a:ln>
            </c:spPr>
          </c:marker>
          <c:xVal>
            <c:numRef>
              <c:f>'1-PP'!$T$8:$X$8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'1-PP'!$T$10:$X$10</c:f>
              <c:numCache>
                <c:formatCode>0.00</c:formatCode>
                <c:ptCount val="5"/>
                <c:pt idx="0">
                  <c:v>6.1891891891891877</c:v>
                </c:pt>
                <c:pt idx="1">
                  <c:v>9.2537537537537524</c:v>
                </c:pt>
                <c:pt idx="2">
                  <c:v>5.3933933933933931</c:v>
                </c:pt>
                <c:pt idx="3">
                  <c:v>8.4564564564564559</c:v>
                </c:pt>
                <c:pt idx="4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F8-4628-9253-8AB774812F7A}"/>
            </c:ext>
          </c:extLst>
        </c:ser>
        <c:ser>
          <c:idx val="2"/>
          <c:order val="2"/>
          <c:tx>
            <c:strRef>
              <c:f>'1-PP'!$S$11</c:f>
              <c:strCache>
                <c:ptCount val="1"/>
                <c:pt idx="0">
                  <c:v>1c</c:v>
                </c:pt>
              </c:strCache>
            </c:strRef>
          </c:tx>
          <c:spPr>
            <a:ln w="28575">
              <a:solidFill>
                <a:schemeClr val="accent3"/>
              </a:solidFill>
            </a:ln>
          </c:spPr>
          <c:marker>
            <c:spPr>
              <a:ln>
                <a:solidFill>
                  <a:schemeClr val="accent3"/>
                </a:solidFill>
              </a:ln>
            </c:spPr>
          </c:marker>
          <c:xVal>
            <c:numRef>
              <c:f>'1-PP'!$T$8:$X$8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'1-PP'!$T$11:$X$11</c:f>
              <c:numCache>
                <c:formatCode>0.00</c:formatCode>
                <c:ptCount val="5"/>
                <c:pt idx="0">
                  <c:v>9.4564564564564577</c:v>
                </c:pt>
                <c:pt idx="1">
                  <c:v>9.4324324324324316</c:v>
                </c:pt>
                <c:pt idx="2">
                  <c:v>8.8288288288288275</c:v>
                </c:pt>
                <c:pt idx="3">
                  <c:v>3.8528528528528527</c:v>
                </c:pt>
                <c:pt idx="4">
                  <c:v>13.483483483483482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F8-4628-9253-8AB774812F7A}"/>
            </c:ext>
          </c:extLst>
        </c:ser>
        <c:ser>
          <c:idx val="3"/>
          <c:order val="3"/>
          <c:tx>
            <c:strRef>
              <c:f>'1-PP'!$S$12</c:f>
              <c:strCache>
                <c:ptCount val="1"/>
                <c:pt idx="0">
                  <c:v>2a</c:v>
                </c:pt>
              </c:strCache>
            </c:strRef>
          </c:tx>
          <c:spPr>
            <a:ln w="28575">
              <a:solidFill>
                <a:schemeClr val="accent4"/>
              </a:solidFill>
            </a:ln>
          </c:spPr>
          <c:marker>
            <c:spPr>
              <a:ln>
                <a:solidFill>
                  <a:schemeClr val="accent4"/>
                </a:solidFill>
              </a:ln>
            </c:spPr>
          </c:marker>
          <c:xVal>
            <c:numRef>
              <c:f>'1-PP'!$T$8:$X$8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'1-PP'!$T$12:$X$12</c:f>
              <c:numCache>
                <c:formatCode>0.00</c:formatCode>
                <c:ptCount val="5"/>
                <c:pt idx="0">
                  <c:v>3.7485795454545454</c:v>
                </c:pt>
                <c:pt idx="1">
                  <c:v>4.0585585585585582</c:v>
                </c:pt>
                <c:pt idx="2">
                  <c:v>7.9519519519519521</c:v>
                </c:pt>
                <c:pt idx="3">
                  <c:v>12.933933933933931</c:v>
                </c:pt>
                <c:pt idx="4">
                  <c:v>5.3123123123123124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7F8-4628-9253-8AB774812F7A}"/>
            </c:ext>
          </c:extLst>
        </c:ser>
        <c:ser>
          <c:idx val="4"/>
          <c:order val="4"/>
          <c:tx>
            <c:strRef>
              <c:f>'1-PP'!$S$13</c:f>
              <c:strCache>
                <c:ptCount val="1"/>
                <c:pt idx="0">
                  <c:v>2b</c:v>
                </c:pt>
              </c:strCache>
            </c:strRef>
          </c:tx>
          <c:spPr>
            <a:ln w="28575">
              <a:solidFill>
                <a:schemeClr val="accent5"/>
              </a:solidFill>
            </a:ln>
          </c:spPr>
          <c:marker>
            <c:spPr>
              <a:ln>
                <a:solidFill>
                  <a:schemeClr val="accent5"/>
                </a:solidFill>
              </a:ln>
            </c:spPr>
          </c:marker>
          <c:xVal>
            <c:numRef>
              <c:f>'1-PP'!$T$8:$X$8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'1-PP'!$T$13:$X$13</c:f>
              <c:numCache>
                <c:formatCode>0.00</c:formatCode>
                <c:ptCount val="5"/>
                <c:pt idx="0">
                  <c:v>7.4474474474474475</c:v>
                </c:pt>
                <c:pt idx="1">
                  <c:v>9.3108108108108105</c:v>
                </c:pt>
                <c:pt idx="3">
                  <c:v>7.4624624624624616</c:v>
                </c:pt>
                <c:pt idx="4">
                  <c:v>9.7537537537537542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7F8-4628-9253-8AB774812F7A}"/>
            </c:ext>
          </c:extLst>
        </c:ser>
        <c:ser>
          <c:idx val="5"/>
          <c:order val="5"/>
          <c:tx>
            <c:strRef>
              <c:f>'1-PP'!$S$14</c:f>
              <c:strCache>
                <c:ptCount val="1"/>
                <c:pt idx="0">
                  <c:v>2c</c:v>
                </c:pt>
              </c:strCache>
            </c:strRef>
          </c:tx>
          <c:spPr>
            <a:ln w="28575">
              <a:solidFill>
                <a:schemeClr val="accent6"/>
              </a:solidFill>
            </a:ln>
          </c:spPr>
          <c:marker>
            <c:spPr>
              <a:ln>
                <a:solidFill>
                  <a:schemeClr val="accent6"/>
                </a:solidFill>
              </a:ln>
            </c:spPr>
          </c:marker>
          <c:xVal>
            <c:numRef>
              <c:f>'1-PP'!$T$8:$X$8</c:f>
              <c:numCache>
                <c:formatCode>General</c:formatCode>
                <c:ptCount val="5"/>
                <c:pt idx="0">
                  <c:v>0</c:v>
                </c:pt>
                <c:pt idx="1">
                  <c:v>6.25</c:v>
                </c:pt>
                <c:pt idx="2">
                  <c:v>11</c:v>
                </c:pt>
                <c:pt idx="3">
                  <c:v>21</c:v>
                </c:pt>
                <c:pt idx="4">
                  <c:v>32</c:v>
                </c:pt>
              </c:numCache>
            </c:numRef>
          </c:xVal>
          <c:yVal>
            <c:numRef>
              <c:f>'1-PP'!$T$14:$X$14</c:f>
              <c:numCache>
                <c:formatCode>0.00</c:formatCode>
                <c:ptCount val="5"/>
                <c:pt idx="0">
                  <c:v>8.5420420420420413</c:v>
                </c:pt>
                <c:pt idx="1">
                  <c:v>9.8063063063063058</c:v>
                </c:pt>
                <c:pt idx="2">
                  <c:v>5.6606606606606604</c:v>
                </c:pt>
                <c:pt idx="3">
                  <c:v>2.6156156156156154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7F8-4628-9253-8AB774812F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364608"/>
        <c:axId val="139374976"/>
      </c:scatterChart>
      <c:valAx>
        <c:axId val="13936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9374976"/>
        <c:crosses val="autoZero"/>
        <c:crossBetween val="midCat"/>
      </c:valAx>
      <c:valAx>
        <c:axId val="139374976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39364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'2-NH4'!$A$4:$A$9</c:f>
              <c:numCache>
                <c:formatCode>General</c:formatCode>
                <c:ptCount val="6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0.25</c:v>
                </c:pt>
                <c:pt idx="4">
                  <c:v>0.5</c:v>
                </c:pt>
                <c:pt idx="5">
                  <c:v>1</c:v>
                </c:pt>
              </c:numCache>
            </c:numRef>
          </c:xVal>
          <c:yVal>
            <c:numRef>
              <c:f>'2-NH4'!$E$4:$E$9</c:f>
              <c:numCache>
                <c:formatCode>General</c:formatCode>
                <c:ptCount val="6"/>
                <c:pt idx="0">
                  <c:v>21.899999999999995</c:v>
                </c:pt>
                <c:pt idx="1">
                  <c:v>45.650000000000006</c:v>
                </c:pt>
                <c:pt idx="2">
                  <c:v>75</c:v>
                </c:pt>
                <c:pt idx="3">
                  <c:v>144.19999999999999</c:v>
                </c:pt>
                <c:pt idx="4">
                  <c:v>268.95000000000005</c:v>
                </c:pt>
                <c:pt idx="5">
                  <c:v>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84-4083-A885-981A3C7C2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21216"/>
        <c:axId val="140122752"/>
      </c:scatterChart>
      <c:valAx>
        <c:axId val="14012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122752"/>
        <c:crosses val="autoZero"/>
        <c:crossBetween val="midCat"/>
      </c:valAx>
      <c:valAx>
        <c:axId val="140122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0121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FRP</a:t>
            </a:r>
          </a:p>
        </c:rich>
      </c:tx>
      <c:layout>
        <c:manualLayout>
          <c:xMode val="edge"/>
          <c:yMode val="edge"/>
          <c:x val="3.4701443569553847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'2-NH4'!$N$14</c:f>
              <c:strCache>
                <c:ptCount val="1"/>
                <c:pt idx="0">
                  <c:v>SW+Lys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'2-NH4'!$O$17:$S$17</c:f>
                <c:numCache>
                  <c:formatCode>General</c:formatCode>
                  <c:ptCount val="5"/>
                  <c:pt idx="0">
                    <c:v>1.864512048268523E-2</c:v>
                  </c:pt>
                  <c:pt idx="1">
                    <c:v>7.1242925780167707E-3</c:v>
                  </c:pt>
                  <c:pt idx="2">
                    <c:v>1.4535554269545533E-2</c:v>
                  </c:pt>
                  <c:pt idx="3">
                    <c:v>9.7258009031923331E-3</c:v>
                  </c:pt>
                  <c:pt idx="4">
                    <c:v>1.8172674788505594E-2</c:v>
                  </c:pt>
                </c:numCache>
              </c:numRef>
            </c:plus>
            <c:minus>
              <c:numRef>
                <c:f>'2-NH4'!$O$17:$S$17</c:f>
                <c:numCache>
                  <c:formatCode>General</c:formatCode>
                  <c:ptCount val="5"/>
                  <c:pt idx="0">
                    <c:v>1.864512048268523E-2</c:v>
                  </c:pt>
                  <c:pt idx="1">
                    <c:v>7.1242925780167707E-3</c:v>
                  </c:pt>
                  <c:pt idx="2">
                    <c:v>1.4535554269545533E-2</c:v>
                  </c:pt>
                  <c:pt idx="3">
                    <c:v>9.7258009031923331E-3</c:v>
                  </c:pt>
                  <c:pt idx="4">
                    <c:v>1.8172674788505594E-2</c:v>
                  </c:pt>
                </c:numCache>
              </c:numRef>
            </c:minus>
          </c:errBars>
          <c:xVal>
            <c:numRef>
              <c:f>'2-NH4'!$O$13:$S$13</c:f>
              <c:numCache>
                <c:formatCode>General</c:formatCode>
                <c:ptCount val="5"/>
                <c:pt idx="0">
                  <c:v>0</c:v>
                </c:pt>
                <c:pt idx="1">
                  <c:v>3.5</c:v>
                </c:pt>
                <c:pt idx="2">
                  <c:v>13.5</c:v>
                </c:pt>
                <c:pt idx="3">
                  <c:v>19.75</c:v>
                </c:pt>
                <c:pt idx="4">
                  <c:v>27</c:v>
                </c:pt>
              </c:numCache>
            </c:numRef>
          </c:xVal>
          <c:yVal>
            <c:numRef>
              <c:f>'2-NH4'!$O$14:$S$14</c:f>
              <c:numCache>
                <c:formatCode>General</c:formatCode>
                <c:ptCount val="5"/>
                <c:pt idx="0">
                  <c:v>0.36186115872949509</c:v>
                </c:pt>
                <c:pt idx="1">
                  <c:v>0.22200248080166129</c:v>
                </c:pt>
                <c:pt idx="2">
                  <c:v>0.13628938969491713</c:v>
                </c:pt>
                <c:pt idx="3">
                  <c:v>3.5942356204094715E-2</c:v>
                </c:pt>
                <c:pt idx="4">
                  <c:v>0.25566054828504137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8F-441E-BEB6-B15B41007DE4}"/>
            </c:ext>
          </c:extLst>
        </c:ser>
        <c:ser>
          <c:idx val="1"/>
          <c:order val="1"/>
          <c:tx>
            <c:strRef>
              <c:f>'2-NH4'!$N$15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'2-NH4'!$O$18:$S$18</c:f>
                <c:numCache>
                  <c:formatCode>General</c:formatCode>
                  <c:ptCount val="5"/>
                  <c:pt idx="0">
                    <c:v>2.3869373990003911E-2</c:v>
                  </c:pt>
                  <c:pt idx="1">
                    <c:v>5.683102905493247E-3</c:v>
                  </c:pt>
                  <c:pt idx="2">
                    <c:v>2.5802439800941641E-3</c:v>
                  </c:pt>
                  <c:pt idx="3">
                    <c:v>8.0669738602561943E-3</c:v>
                  </c:pt>
                  <c:pt idx="4">
                    <c:v>1.0122154972098008E-2</c:v>
                  </c:pt>
                </c:numCache>
              </c:numRef>
            </c:plus>
            <c:minus>
              <c:numRef>
                <c:f>'2-NH4'!$O$18:$S$18</c:f>
                <c:numCache>
                  <c:formatCode>General</c:formatCode>
                  <c:ptCount val="5"/>
                  <c:pt idx="0">
                    <c:v>2.3869373990003911E-2</c:v>
                  </c:pt>
                  <c:pt idx="1">
                    <c:v>5.683102905493247E-3</c:v>
                  </c:pt>
                  <c:pt idx="2">
                    <c:v>2.5802439800941641E-3</c:v>
                  </c:pt>
                  <c:pt idx="3">
                    <c:v>8.0669738602561943E-3</c:v>
                  </c:pt>
                  <c:pt idx="4">
                    <c:v>1.0122154972098008E-2</c:v>
                  </c:pt>
                </c:numCache>
              </c:numRef>
            </c:minus>
          </c:errBars>
          <c:xVal>
            <c:numRef>
              <c:f>'2-NH4'!$O$13:$S$13</c:f>
              <c:numCache>
                <c:formatCode>General</c:formatCode>
                <c:ptCount val="5"/>
                <c:pt idx="0">
                  <c:v>0</c:v>
                </c:pt>
                <c:pt idx="1">
                  <c:v>3.5</c:v>
                </c:pt>
                <c:pt idx="2">
                  <c:v>13.5</c:v>
                </c:pt>
                <c:pt idx="3">
                  <c:v>19.75</c:v>
                </c:pt>
                <c:pt idx="4">
                  <c:v>27</c:v>
                </c:pt>
              </c:numCache>
            </c:numRef>
          </c:xVal>
          <c:yVal>
            <c:numRef>
              <c:f>'2-NH4'!$O$15:$S$15</c:f>
              <c:numCache>
                <c:formatCode>General</c:formatCode>
                <c:ptCount val="5"/>
                <c:pt idx="0">
                  <c:v>7.2248470404593659E-2</c:v>
                </c:pt>
                <c:pt idx="1">
                  <c:v>2.2423380858803365E-2</c:v>
                </c:pt>
                <c:pt idx="2">
                  <c:v>1.3155217348887124E-2</c:v>
                </c:pt>
                <c:pt idx="3">
                  <c:v>1.4688297027219134E-2</c:v>
                </c:pt>
                <c:pt idx="4">
                  <c:v>1.3155217348887124E-2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8F-441E-BEB6-B15B41007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160384"/>
        <c:axId val="140166656"/>
      </c:scatterChart>
      <c:valAx>
        <c:axId val="14016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166656"/>
        <c:crosses val="autoZero"/>
        <c:crossBetween val="midCat"/>
      </c:valAx>
      <c:valAx>
        <c:axId val="140166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Ammonium (</a:t>
                </a:r>
                <a:r>
                  <a:rPr lang="en-CA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µ</a:t>
                </a:r>
                <a:r>
                  <a:rPr lang="en-CA"/>
                  <a:t>mol l</a:t>
                </a:r>
                <a:r>
                  <a:rPr lang="en-CA" baseline="30000"/>
                  <a:t>-1</a:t>
                </a:r>
                <a:r>
                  <a:rPr lang="en-CA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160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FRP</a:t>
            </a:r>
          </a:p>
        </c:rich>
      </c:tx>
      <c:layout>
        <c:manualLayout>
          <c:xMode val="edge"/>
          <c:yMode val="edge"/>
          <c:x val="3.4701443569553805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'2-Bac'!$O$16</c:f>
              <c:strCache>
                <c:ptCount val="1"/>
                <c:pt idx="0">
                  <c:v>SW+Lys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'2-Bac'!$P$19:$T$19</c:f>
                <c:numCache>
                  <c:formatCode>General</c:formatCode>
                  <c:ptCount val="5"/>
                  <c:pt idx="0">
                    <c:v>2.0927700212547542</c:v>
                  </c:pt>
                  <c:pt idx="1">
                    <c:v>0.65830546244190735</c:v>
                  </c:pt>
                  <c:pt idx="2">
                    <c:v>0.17109792764809598</c:v>
                  </c:pt>
                  <c:pt idx="3">
                    <c:v>0.28521978114463375</c:v>
                  </c:pt>
                  <c:pt idx="4">
                    <c:v>2.7307480995283258</c:v>
                  </c:pt>
                </c:numCache>
              </c:numRef>
            </c:plus>
            <c:minus>
              <c:numRef>
                <c:f>'2-Bac'!$P$20:$T$20</c:f>
                <c:numCache>
                  <c:formatCode>General</c:formatCode>
                  <c:ptCount val="5"/>
                  <c:pt idx="0">
                    <c:v>0.35085459208064956</c:v>
                  </c:pt>
                  <c:pt idx="1">
                    <c:v>0.25277072511884668</c:v>
                  </c:pt>
                  <c:pt idx="2">
                    <c:v>0.17691859315973318</c:v>
                  </c:pt>
                  <c:pt idx="3">
                    <c:v>0.28069622901612229</c:v>
                  </c:pt>
                  <c:pt idx="4">
                    <c:v>1.0147381922399106</c:v>
                  </c:pt>
                </c:numCache>
              </c:numRef>
            </c:minus>
          </c:errBars>
          <c:xVal>
            <c:numRef>
              <c:f>'2-Bac'!$P$15:$T$15</c:f>
              <c:numCache>
                <c:formatCode>0.00</c:formatCode>
                <c:ptCount val="5"/>
                <c:pt idx="0" formatCode="0">
                  <c:v>0</c:v>
                </c:pt>
                <c:pt idx="1">
                  <c:v>3.5</c:v>
                </c:pt>
                <c:pt idx="2" formatCode="0">
                  <c:v>13.5</c:v>
                </c:pt>
                <c:pt idx="3" formatCode="0">
                  <c:v>19.75</c:v>
                </c:pt>
                <c:pt idx="4" formatCode="0">
                  <c:v>27</c:v>
                </c:pt>
              </c:numCache>
            </c:numRef>
          </c:xVal>
          <c:yVal>
            <c:numRef>
              <c:f>'2-Bac'!$P$16:$T$16</c:f>
              <c:numCache>
                <c:formatCode>0.00</c:formatCode>
                <c:ptCount val="5"/>
                <c:pt idx="0">
                  <c:v>8.5068548387096783</c:v>
                </c:pt>
                <c:pt idx="1">
                  <c:v>13.41834677419355</c:v>
                </c:pt>
                <c:pt idx="2">
                  <c:v>18.737701612903226</c:v>
                </c:pt>
                <c:pt idx="3">
                  <c:v>42.563750000000006</c:v>
                </c:pt>
                <c:pt idx="4">
                  <c:v>92.238709677419365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55-495C-B8F5-922A6E572BC1}"/>
            </c:ext>
          </c:extLst>
        </c:ser>
        <c:ser>
          <c:idx val="1"/>
          <c:order val="1"/>
          <c:tx>
            <c:strRef>
              <c:f>'2-Bac'!$O$17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'2-Bac'!$P$20:$T$20</c:f>
                <c:numCache>
                  <c:formatCode>General</c:formatCode>
                  <c:ptCount val="5"/>
                  <c:pt idx="0">
                    <c:v>0.35085459208064956</c:v>
                  </c:pt>
                  <c:pt idx="1">
                    <c:v>0.25277072511884668</c:v>
                  </c:pt>
                  <c:pt idx="2">
                    <c:v>0.17691859315973318</c:v>
                  </c:pt>
                  <c:pt idx="3">
                    <c:v>0.28069622901612229</c:v>
                  </c:pt>
                  <c:pt idx="4">
                    <c:v>1.0147381922399106</c:v>
                  </c:pt>
                </c:numCache>
              </c:numRef>
            </c:plus>
            <c:minus>
              <c:numRef>
                <c:f>'2-Bac'!$P$20:$T$20</c:f>
                <c:numCache>
                  <c:formatCode>General</c:formatCode>
                  <c:ptCount val="5"/>
                  <c:pt idx="0">
                    <c:v>0.35085459208064956</c:v>
                  </c:pt>
                  <c:pt idx="1">
                    <c:v>0.25277072511884668</c:v>
                  </c:pt>
                  <c:pt idx="2">
                    <c:v>0.17691859315973318</c:v>
                  </c:pt>
                  <c:pt idx="3">
                    <c:v>0.28069622901612229</c:v>
                  </c:pt>
                  <c:pt idx="4">
                    <c:v>1.0147381922399106</c:v>
                  </c:pt>
                </c:numCache>
              </c:numRef>
            </c:minus>
          </c:errBars>
          <c:xVal>
            <c:numRef>
              <c:f>'2-Bac'!$P$15:$T$15</c:f>
              <c:numCache>
                <c:formatCode>0.00</c:formatCode>
                <c:ptCount val="5"/>
                <c:pt idx="0" formatCode="0">
                  <c:v>0</c:v>
                </c:pt>
                <c:pt idx="1">
                  <c:v>3.5</c:v>
                </c:pt>
                <c:pt idx="2" formatCode="0">
                  <c:v>13.5</c:v>
                </c:pt>
                <c:pt idx="3" formatCode="0">
                  <c:v>19.75</c:v>
                </c:pt>
                <c:pt idx="4" formatCode="0">
                  <c:v>27</c:v>
                </c:pt>
              </c:numCache>
            </c:numRef>
          </c:xVal>
          <c:yVal>
            <c:numRef>
              <c:f>'2-Bac'!$P$17:$T$17</c:f>
              <c:numCache>
                <c:formatCode>0.00</c:formatCode>
                <c:ptCount val="5"/>
                <c:pt idx="0">
                  <c:v>11.214516129032257</c:v>
                </c:pt>
                <c:pt idx="1">
                  <c:v>13.534879032258063</c:v>
                </c:pt>
                <c:pt idx="2">
                  <c:v>17.111048387096776</c:v>
                </c:pt>
                <c:pt idx="3">
                  <c:v>21.907379032258063</c:v>
                </c:pt>
                <c:pt idx="4">
                  <c:v>23.555967741935486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55-495C-B8F5-922A6E572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017664"/>
        <c:axId val="140019584"/>
      </c:scatterChart>
      <c:valAx>
        <c:axId val="14001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140019584"/>
        <c:crosses val="autoZero"/>
        <c:crossBetween val="midCat"/>
      </c:valAx>
      <c:valAx>
        <c:axId val="14001958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Bacteria</a:t>
                </a:r>
                <a:r>
                  <a:rPr lang="en-CA" baseline="0"/>
                  <a:t> (x10</a:t>
                </a:r>
                <a:r>
                  <a:rPr lang="en-CA" baseline="30000"/>
                  <a:t>5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40017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</xdr:row>
      <xdr:rowOff>109537</xdr:rowOff>
    </xdr:from>
    <xdr:to>
      <xdr:col>11</xdr:col>
      <xdr:colOff>247650</xdr:colOff>
      <xdr:row>9</xdr:row>
      <xdr:rowOff>145732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485775</xdr:colOff>
      <xdr:row>18</xdr:row>
      <xdr:rowOff>166687</xdr:rowOff>
    </xdr:from>
    <xdr:to>
      <xdr:col>19</xdr:col>
      <xdr:colOff>180975</xdr:colOff>
      <xdr:row>33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19050</xdr:colOff>
      <xdr:row>20</xdr:row>
      <xdr:rowOff>128587</xdr:rowOff>
    </xdr:from>
    <xdr:to>
      <xdr:col>26</xdr:col>
      <xdr:colOff>323850</xdr:colOff>
      <xdr:row>35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552450</xdr:colOff>
      <xdr:row>21</xdr:row>
      <xdr:rowOff>138112</xdr:rowOff>
    </xdr:from>
    <xdr:to>
      <xdr:col>34</xdr:col>
      <xdr:colOff>247650</xdr:colOff>
      <xdr:row>36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552450</xdr:colOff>
      <xdr:row>26</xdr:row>
      <xdr:rowOff>33337</xdr:rowOff>
    </xdr:from>
    <xdr:to>
      <xdr:col>35</xdr:col>
      <xdr:colOff>247650</xdr:colOff>
      <xdr:row>40</xdr:row>
      <xdr:rowOff>109537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0</xdr:row>
      <xdr:rowOff>114300</xdr:rowOff>
    </xdr:from>
    <xdr:to>
      <xdr:col>10</xdr:col>
      <xdr:colOff>247650</xdr:colOff>
      <xdr:row>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9</xdr:row>
      <xdr:rowOff>1</xdr:rowOff>
    </xdr:from>
    <xdr:to>
      <xdr:col>10</xdr:col>
      <xdr:colOff>266700</xdr:colOff>
      <xdr:row>17</xdr:row>
      <xdr:rowOff>76201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542925</xdr:colOff>
      <xdr:row>19</xdr:row>
      <xdr:rowOff>176212</xdr:rowOff>
    </xdr:from>
    <xdr:to>
      <xdr:col>20</xdr:col>
      <xdr:colOff>238125</xdr:colOff>
      <xdr:row>34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21</xdr:row>
      <xdr:rowOff>33337</xdr:rowOff>
    </xdr:from>
    <xdr:to>
      <xdr:col>22</xdr:col>
      <xdr:colOff>0</xdr:colOff>
      <xdr:row>35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31</xdr:row>
      <xdr:rowOff>133350</xdr:rowOff>
    </xdr:from>
    <xdr:to>
      <xdr:col>27</xdr:col>
      <xdr:colOff>352425</xdr:colOff>
      <xdr:row>46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485775</xdr:colOff>
      <xdr:row>16</xdr:row>
      <xdr:rowOff>85725</xdr:rowOff>
    </xdr:from>
    <xdr:to>
      <xdr:col>27</xdr:col>
      <xdr:colOff>409575</xdr:colOff>
      <xdr:row>30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</xdr:row>
      <xdr:rowOff>109537</xdr:rowOff>
    </xdr:from>
    <xdr:to>
      <xdr:col>11</xdr:col>
      <xdr:colOff>247650</xdr:colOff>
      <xdr:row>9</xdr:row>
      <xdr:rowOff>145732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542925</xdr:colOff>
      <xdr:row>18</xdr:row>
      <xdr:rowOff>128587</xdr:rowOff>
    </xdr:from>
    <xdr:to>
      <xdr:col>19</xdr:col>
      <xdr:colOff>238125</xdr:colOff>
      <xdr:row>33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542925</xdr:colOff>
      <xdr:row>21</xdr:row>
      <xdr:rowOff>52387</xdr:rowOff>
    </xdr:from>
    <xdr:to>
      <xdr:col>20</xdr:col>
      <xdr:colOff>238125</xdr:colOff>
      <xdr:row>35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209550</xdr:colOff>
      <xdr:row>21</xdr:row>
      <xdr:rowOff>176212</xdr:rowOff>
    </xdr:from>
    <xdr:to>
      <xdr:col>21</xdr:col>
      <xdr:colOff>514350</xdr:colOff>
      <xdr:row>36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152400</xdr:colOff>
      <xdr:row>2</xdr:row>
      <xdr:rowOff>61912</xdr:rowOff>
    </xdr:from>
    <xdr:to>
      <xdr:col>25</xdr:col>
      <xdr:colOff>457200</xdr:colOff>
      <xdr:row>16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28575</xdr:colOff>
      <xdr:row>17</xdr:row>
      <xdr:rowOff>61912</xdr:rowOff>
    </xdr:from>
    <xdr:to>
      <xdr:col>25</xdr:col>
      <xdr:colOff>333375</xdr:colOff>
      <xdr:row>31</xdr:row>
      <xdr:rowOff>138112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295274</xdr:colOff>
      <xdr:row>4</xdr:row>
      <xdr:rowOff>152400</xdr:rowOff>
    </xdr:from>
    <xdr:to>
      <xdr:col>35</xdr:col>
      <xdr:colOff>114299</xdr:colOff>
      <xdr:row>18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380999</xdr:colOff>
      <xdr:row>19</xdr:row>
      <xdr:rowOff>142875</xdr:rowOff>
    </xdr:from>
    <xdr:to>
      <xdr:col>35</xdr:col>
      <xdr:colOff>219074</xdr:colOff>
      <xdr:row>32</xdr:row>
      <xdr:rowOff>14287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152400</xdr:colOff>
      <xdr:row>17</xdr:row>
      <xdr:rowOff>76200</xdr:rowOff>
    </xdr:from>
    <xdr:to>
      <xdr:col>42</xdr:col>
      <xdr:colOff>304800</xdr:colOff>
      <xdr:row>32</xdr:row>
      <xdr:rowOff>57150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 txBox="1"/>
      </xdr:nvSpPr>
      <xdr:spPr>
        <a:xfrm>
          <a:off x="22707600" y="3314700"/>
          <a:ext cx="3200400" cy="283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 b="1"/>
            <a:t>Stn 1: </a:t>
          </a:r>
          <a:r>
            <a:rPr lang="en-CA" sz="1100"/>
            <a:t>there is no</a:t>
          </a:r>
          <a:r>
            <a:rPr lang="en-CA" sz="1100" baseline="0"/>
            <a:t> significant </a:t>
          </a:r>
          <a:r>
            <a:rPr lang="en-CA" sz="1100"/>
            <a:t>increase or</a:t>
          </a:r>
          <a:r>
            <a:rPr lang="en-CA" sz="1100" baseline="0"/>
            <a:t> decrease for either treatment. Since this is so, it doesn't really matter if there is a difference between treatments (not a significant difference at T=0, incidentally).</a:t>
          </a:r>
        </a:p>
        <a:p>
          <a:r>
            <a:rPr lang="en-CA" sz="1100" b="1" baseline="0"/>
            <a:t>Stn 2: </a:t>
          </a:r>
          <a:r>
            <a:rPr lang="en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there is no</a:t>
          </a:r>
          <a:r>
            <a:rPr lang="en-CA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significant </a:t>
          </a:r>
          <a:r>
            <a:rPr lang="en-CA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increase or</a:t>
          </a:r>
          <a:r>
            <a:rPr lang="en-CA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decrease for either treatment. Same comments as for Stn 1, although it is strange there is a significant difference between treatments at T=0. Not sure why.</a:t>
          </a:r>
        </a:p>
        <a:p>
          <a:endParaRPr lang="en-CA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CA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Conclusion: the only confusing thing is why the chla measurements in Stn 2 are different at T=0 between treatments.</a:t>
          </a:r>
          <a:endParaRPr lang="en-CA" sz="1100" b="1"/>
        </a:p>
      </xdr:txBody>
    </xdr:sp>
    <xdr:clientData/>
  </xdr:twoCellAnchor>
  <xdr:twoCellAnchor>
    <xdr:from>
      <xdr:col>9</xdr:col>
      <xdr:colOff>19050</xdr:colOff>
      <xdr:row>2</xdr:row>
      <xdr:rowOff>57150</xdr:rowOff>
    </xdr:from>
    <xdr:to>
      <xdr:col>13</xdr:col>
      <xdr:colOff>552450</xdr:colOff>
      <xdr:row>13</xdr:row>
      <xdr:rowOff>119062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133350</xdr:colOff>
      <xdr:row>14</xdr:row>
      <xdr:rowOff>95250</xdr:rowOff>
    </xdr:from>
    <xdr:to>
      <xdr:col>13</xdr:col>
      <xdr:colOff>195262</xdr:colOff>
      <xdr:row>22</xdr:row>
      <xdr:rowOff>71436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257175</xdr:colOff>
      <xdr:row>19</xdr:row>
      <xdr:rowOff>71437</xdr:rowOff>
    </xdr:from>
    <xdr:to>
      <xdr:col>24</xdr:col>
      <xdr:colOff>561975</xdr:colOff>
      <xdr:row>33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200025</xdr:colOff>
      <xdr:row>19</xdr:row>
      <xdr:rowOff>138112</xdr:rowOff>
    </xdr:from>
    <xdr:to>
      <xdr:col>32</xdr:col>
      <xdr:colOff>504825</xdr:colOff>
      <xdr:row>34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F83"/>
  <sheetViews>
    <sheetView tabSelected="1" workbookViewId="0">
      <selection activeCell="B2" sqref="B2"/>
    </sheetView>
  </sheetViews>
  <sheetFormatPr defaultRowHeight="15"/>
  <cols>
    <col min="1" max="1" width="14.7109375" bestFit="1" customWidth="1"/>
    <col min="4" max="4" width="9.7109375" bestFit="1" customWidth="1"/>
  </cols>
  <sheetData>
    <row r="1" spans="1:5">
      <c r="A1" s="3" t="s">
        <v>15</v>
      </c>
    </row>
    <row r="4" spans="1:5">
      <c r="A4" s="2" t="s">
        <v>16</v>
      </c>
    </row>
    <row r="5" spans="1:5">
      <c r="A5" t="s">
        <v>18</v>
      </c>
      <c r="B5" t="s">
        <v>17</v>
      </c>
    </row>
    <row r="6" spans="1:5">
      <c r="A6" t="s">
        <v>23</v>
      </c>
      <c r="B6" t="s">
        <v>24</v>
      </c>
    </row>
    <row r="7" spans="1:5">
      <c r="A7" t="s">
        <v>21</v>
      </c>
      <c r="B7" t="s">
        <v>20</v>
      </c>
    </row>
    <row r="8" spans="1:5">
      <c r="A8" t="s">
        <v>19</v>
      </c>
      <c r="B8" t="s">
        <v>22</v>
      </c>
    </row>
    <row r="9" spans="1:5">
      <c r="A9" t="s">
        <v>25</v>
      </c>
      <c r="B9" t="s">
        <v>29</v>
      </c>
    </row>
    <row r="10" spans="1:5">
      <c r="A10" t="s">
        <v>26</v>
      </c>
      <c r="B10">
        <v>3</v>
      </c>
    </row>
    <row r="11" spans="1:5">
      <c r="A11" t="s">
        <v>27</v>
      </c>
      <c r="B11" t="s">
        <v>28</v>
      </c>
    </row>
    <row r="12" spans="1:5">
      <c r="A12" t="s">
        <v>30</v>
      </c>
      <c r="B12" t="s">
        <v>31</v>
      </c>
    </row>
    <row r="13" spans="1:5">
      <c r="B13" t="s">
        <v>32</v>
      </c>
    </row>
    <row r="14" spans="1:5">
      <c r="B14" t="s">
        <v>33</v>
      </c>
    </row>
    <row r="15" spans="1:5">
      <c r="B15" t="s">
        <v>34</v>
      </c>
    </row>
    <row r="16" spans="1:5">
      <c r="A16" t="s">
        <v>35</v>
      </c>
      <c r="B16" t="s">
        <v>36</v>
      </c>
      <c r="C16" t="s">
        <v>41</v>
      </c>
      <c r="D16" s="1">
        <v>41165</v>
      </c>
      <c r="E16">
        <v>0</v>
      </c>
    </row>
    <row r="17" spans="1:5">
      <c r="B17" t="s">
        <v>37</v>
      </c>
      <c r="C17" t="s">
        <v>42</v>
      </c>
      <c r="D17" s="1">
        <v>41165</v>
      </c>
      <c r="E17">
        <v>6.25</v>
      </c>
    </row>
    <row r="18" spans="1:5">
      <c r="B18" t="s">
        <v>38</v>
      </c>
      <c r="C18" t="s">
        <v>43</v>
      </c>
      <c r="D18" s="1">
        <v>41165</v>
      </c>
      <c r="E18">
        <v>11</v>
      </c>
    </row>
    <row r="19" spans="1:5">
      <c r="B19" t="s">
        <v>39</v>
      </c>
      <c r="C19" t="s">
        <v>44</v>
      </c>
      <c r="D19" s="1">
        <v>41166</v>
      </c>
      <c r="E19">
        <v>21</v>
      </c>
    </row>
    <row r="20" spans="1:5">
      <c r="B20" t="s">
        <v>40</v>
      </c>
      <c r="C20" t="s">
        <v>45</v>
      </c>
      <c r="D20" s="1">
        <v>41166</v>
      </c>
      <c r="E20">
        <v>32</v>
      </c>
    </row>
    <row r="21" spans="1:5">
      <c r="A21" t="s">
        <v>57</v>
      </c>
      <c r="B21" t="s">
        <v>58</v>
      </c>
      <c r="D21" s="1"/>
    </row>
    <row r="22" spans="1:5">
      <c r="B22" t="s">
        <v>59</v>
      </c>
      <c r="D22" s="1"/>
    </row>
    <row r="23" spans="1:5">
      <c r="B23" t="s">
        <v>60</v>
      </c>
      <c r="D23" s="1"/>
    </row>
    <row r="24" spans="1:5">
      <c r="B24" t="s">
        <v>61</v>
      </c>
      <c r="D24" s="1"/>
    </row>
    <row r="25" spans="1:5">
      <c r="D25" s="1"/>
    </row>
    <row r="26" spans="1:5">
      <c r="A26" t="s">
        <v>419</v>
      </c>
      <c r="B26">
        <v>0.74750000000000005</v>
      </c>
      <c r="D26" s="1"/>
    </row>
    <row r="27" spans="1:5">
      <c r="A27" t="s">
        <v>420</v>
      </c>
      <c r="B27">
        <v>1.2370000000000001</v>
      </c>
    </row>
    <row r="29" spans="1:5">
      <c r="A29" s="2" t="s">
        <v>46</v>
      </c>
    </row>
    <row r="30" spans="1:5">
      <c r="A30" t="s">
        <v>18</v>
      </c>
      <c r="B30" t="s">
        <v>47</v>
      </c>
    </row>
    <row r="31" spans="1:5">
      <c r="A31" t="s">
        <v>23</v>
      </c>
      <c r="B31" t="s">
        <v>48</v>
      </c>
    </row>
    <row r="32" spans="1:5">
      <c r="A32" t="s">
        <v>21</v>
      </c>
      <c r="B32" t="s">
        <v>49</v>
      </c>
    </row>
    <row r="33" spans="1:5">
      <c r="A33" t="s">
        <v>19</v>
      </c>
      <c r="B33" t="s">
        <v>50</v>
      </c>
    </row>
    <row r="34" spans="1:5">
      <c r="A34" t="s">
        <v>25</v>
      </c>
      <c r="B34" t="s">
        <v>51</v>
      </c>
    </row>
    <row r="35" spans="1:5">
      <c r="A35" t="s">
        <v>26</v>
      </c>
      <c r="B35">
        <v>2</v>
      </c>
    </row>
    <row r="36" spans="1:5">
      <c r="A36" t="s">
        <v>27</v>
      </c>
      <c r="B36" t="s">
        <v>52</v>
      </c>
    </row>
    <row r="37" spans="1:5">
      <c r="A37" t="s">
        <v>30</v>
      </c>
      <c r="B37" t="s">
        <v>53</v>
      </c>
    </row>
    <row r="38" spans="1:5">
      <c r="B38" t="s">
        <v>32</v>
      </c>
    </row>
    <row r="39" spans="1:5">
      <c r="B39" t="s">
        <v>33</v>
      </c>
    </row>
    <row r="40" spans="1:5">
      <c r="B40" t="s">
        <v>34</v>
      </c>
    </row>
    <row r="41" spans="1:5">
      <c r="A41" t="s">
        <v>35</v>
      </c>
      <c r="B41" t="s">
        <v>36</v>
      </c>
      <c r="C41" t="s">
        <v>54</v>
      </c>
      <c r="D41" s="1">
        <v>41165</v>
      </c>
      <c r="E41">
        <v>0</v>
      </c>
    </row>
    <row r="42" spans="1:5">
      <c r="B42" t="s">
        <v>37</v>
      </c>
      <c r="C42" t="s">
        <v>43</v>
      </c>
      <c r="D42" s="1">
        <v>41165</v>
      </c>
      <c r="E42">
        <v>3.5</v>
      </c>
    </row>
    <row r="43" spans="1:5">
      <c r="B43" t="s">
        <v>38</v>
      </c>
      <c r="C43" t="s">
        <v>44</v>
      </c>
      <c r="D43" s="1">
        <v>41166</v>
      </c>
      <c r="E43">
        <v>13.5</v>
      </c>
    </row>
    <row r="44" spans="1:5">
      <c r="B44" t="s">
        <v>39</v>
      </c>
      <c r="C44" t="s">
        <v>55</v>
      </c>
      <c r="D44" s="1">
        <v>41166</v>
      </c>
      <c r="E44">
        <v>19.75</v>
      </c>
    </row>
    <row r="45" spans="1:5">
      <c r="B45" t="s">
        <v>40</v>
      </c>
      <c r="C45" t="s">
        <v>56</v>
      </c>
      <c r="D45" s="1">
        <v>41166</v>
      </c>
      <c r="E45">
        <v>27</v>
      </c>
    </row>
    <row r="46" spans="1:5">
      <c r="A46" t="s">
        <v>57</v>
      </c>
      <c r="B46" t="s">
        <v>354</v>
      </c>
    </row>
    <row r="47" spans="1:5">
      <c r="B47" t="s">
        <v>59</v>
      </c>
    </row>
    <row r="48" spans="1:5">
      <c r="B48" t="s">
        <v>60</v>
      </c>
    </row>
    <row r="50" spans="1:2">
      <c r="A50" t="s">
        <v>419</v>
      </c>
      <c r="B50">
        <v>1.1225000000000001</v>
      </c>
    </row>
    <row r="51" spans="1:2">
      <c r="A51" t="s">
        <v>420</v>
      </c>
      <c r="B51">
        <v>10.906500000000001</v>
      </c>
    </row>
    <row r="54" spans="1:2">
      <c r="A54" s="2"/>
    </row>
    <row r="66" spans="4:6">
      <c r="D66" s="1"/>
      <c r="F66" s="13"/>
    </row>
    <row r="67" spans="4:6">
      <c r="D67" s="1"/>
      <c r="F67" s="13"/>
    </row>
    <row r="68" spans="4:6">
      <c r="D68" s="1"/>
      <c r="F68" s="13"/>
    </row>
    <row r="69" spans="4:6">
      <c r="D69" s="1"/>
      <c r="F69" s="13"/>
    </row>
    <row r="70" spans="4:6">
      <c r="D70" s="1"/>
      <c r="F70" s="13"/>
    </row>
    <row r="71" spans="4:6">
      <c r="D71" s="1"/>
      <c r="F71" s="13"/>
    </row>
    <row r="72" spans="4:6">
      <c r="D72" s="1"/>
      <c r="F72" s="13"/>
    </row>
    <row r="82" spans="1:2">
      <c r="A82" t="s">
        <v>419</v>
      </c>
      <c r="B82">
        <v>1.7969999999999999</v>
      </c>
    </row>
    <row r="83" spans="1:2">
      <c r="A83" t="s">
        <v>420</v>
      </c>
      <c r="B83">
        <v>16.939500000000002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I60"/>
  <sheetViews>
    <sheetView workbookViewId="0">
      <selection activeCell="AI5" sqref="AI5:AI34"/>
    </sheetView>
  </sheetViews>
  <sheetFormatPr defaultRowHeight="15"/>
  <sheetData>
    <row r="1" spans="1:35" ht="39.75">
      <c r="A1" s="4" t="s">
        <v>64</v>
      </c>
      <c r="B1" s="4" t="s">
        <v>65</v>
      </c>
      <c r="C1" s="4" t="s">
        <v>66</v>
      </c>
      <c r="D1" s="4" t="s">
        <v>67</v>
      </c>
      <c r="E1" s="4" t="s">
        <v>71</v>
      </c>
      <c r="F1" s="4" t="s">
        <v>72</v>
      </c>
      <c r="G1" s="4" t="s">
        <v>334</v>
      </c>
      <c r="H1" s="4" t="s">
        <v>335</v>
      </c>
      <c r="I1" s="4" t="s">
        <v>336</v>
      </c>
      <c r="J1" s="4" t="s">
        <v>337</v>
      </c>
      <c r="K1" s="4" t="s">
        <v>276</v>
      </c>
      <c r="L1" s="4" t="s">
        <v>277</v>
      </c>
      <c r="M1" s="4" t="s">
        <v>278</v>
      </c>
      <c r="N1" s="4" t="s">
        <v>279</v>
      </c>
      <c r="O1" s="4" t="s">
        <v>280</v>
      </c>
    </row>
    <row r="2" spans="1:3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35">
      <c r="C3" s="5"/>
      <c r="D3" s="5"/>
      <c r="E3" s="5" t="s">
        <v>275</v>
      </c>
      <c r="F3" s="5">
        <v>66.599999999999994</v>
      </c>
      <c r="G3" s="7"/>
      <c r="H3" s="7"/>
      <c r="I3" s="7"/>
      <c r="O3" s="6"/>
    </row>
    <row r="4" spans="1:35">
      <c r="A4" s="17" t="s">
        <v>309</v>
      </c>
      <c r="B4" s="17" t="s">
        <v>85</v>
      </c>
      <c r="C4" s="5">
        <v>1</v>
      </c>
      <c r="D4" s="5">
        <v>10</v>
      </c>
      <c r="E4" s="5" t="s">
        <v>275</v>
      </c>
      <c r="F4" s="5">
        <v>66.599999999999994</v>
      </c>
      <c r="G4" s="18">
        <v>3937</v>
      </c>
      <c r="H4" s="18">
        <v>281</v>
      </c>
      <c r="I4" s="18">
        <v>478</v>
      </c>
      <c r="J4" s="18">
        <v>637</v>
      </c>
      <c r="K4">
        <f>(G4/((F4*D4)/1000))/10000</f>
        <v>0.59114114114114114</v>
      </c>
      <c r="L4">
        <f>(H4/((F4*D4)/1000))/10000</f>
        <v>4.2192192192192189E-2</v>
      </c>
      <c r="M4">
        <f>(I4/((F4*D4)/1000))/10000</f>
        <v>7.177177177177177E-2</v>
      </c>
      <c r="N4">
        <f>(J4/((F4*D4)/1000))/10000</f>
        <v>9.5645645645645636E-2</v>
      </c>
      <c r="O4" s="6">
        <f>K4+L4+M4+N4</f>
        <v>0.80075075075075064</v>
      </c>
      <c r="P4" s="17" t="s">
        <v>85</v>
      </c>
    </row>
    <row r="5" spans="1:35">
      <c r="A5" s="17" t="s">
        <v>310</v>
      </c>
      <c r="B5" s="17" t="s">
        <v>91</v>
      </c>
      <c r="C5" s="5">
        <v>1</v>
      </c>
      <c r="D5" s="5">
        <v>10</v>
      </c>
      <c r="E5" s="5" t="s">
        <v>275</v>
      </c>
      <c r="F5" s="5">
        <v>66.599999999999994</v>
      </c>
      <c r="G5" s="18">
        <v>4607</v>
      </c>
      <c r="H5" s="18">
        <v>689</v>
      </c>
      <c r="I5" s="18">
        <v>528</v>
      </c>
      <c r="J5" s="18">
        <v>733</v>
      </c>
      <c r="K5">
        <f t="shared" ref="K5:K60" si="0">(G5/((F5*D5)/1000))/10000</f>
        <v>0.69174174174174163</v>
      </c>
      <c r="L5">
        <f t="shared" ref="L5:L60" si="1">(H5/((F5*D5)/1000))/10000</f>
        <v>0.10345345345345344</v>
      </c>
      <c r="M5">
        <f t="shared" ref="M5:M60" si="2">(I5/((F5*D5)/1000))/10000</f>
        <v>7.9279279279279274E-2</v>
      </c>
      <c r="N5">
        <f t="shared" ref="N5:N60" si="3">(J5/((F5*D5)/1000))/10000</f>
        <v>0.11006006006006006</v>
      </c>
      <c r="O5" s="6">
        <f>K5+L5+M5+N5</f>
        <v>0.98453453453453443</v>
      </c>
      <c r="P5" s="17" t="s">
        <v>91</v>
      </c>
      <c r="T5" t="s">
        <v>3</v>
      </c>
      <c r="U5" t="s">
        <v>4</v>
      </c>
      <c r="V5" t="s">
        <v>5</v>
      </c>
      <c r="W5" t="s">
        <v>6</v>
      </c>
      <c r="X5" t="s">
        <v>7</v>
      </c>
      <c r="Z5" t="s">
        <v>377</v>
      </c>
      <c r="AA5" t="s">
        <v>378</v>
      </c>
      <c r="AB5" t="s">
        <v>379</v>
      </c>
      <c r="AC5" t="s">
        <v>380</v>
      </c>
      <c r="AG5" s="2" t="s">
        <v>424</v>
      </c>
      <c r="AH5" s="8">
        <f>T6</f>
        <v>0.36534090909090911</v>
      </c>
      <c r="AI5">
        <f>AH5*10000</f>
        <v>3653.409090909091</v>
      </c>
    </row>
    <row r="6" spans="1:35">
      <c r="A6" s="17" t="s">
        <v>311</v>
      </c>
      <c r="B6" s="17" t="s">
        <v>93</v>
      </c>
      <c r="C6" s="5">
        <v>1</v>
      </c>
      <c r="D6" s="5">
        <v>10</v>
      </c>
      <c r="E6" s="5" t="s">
        <v>275</v>
      </c>
      <c r="F6" s="5">
        <v>66.599999999999994</v>
      </c>
      <c r="G6" s="18">
        <v>4865</v>
      </c>
      <c r="H6" s="18">
        <v>485</v>
      </c>
      <c r="I6" s="18">
        <v>570</v>
      </c>
      <c r="J6" s="18">
        <v>756</v>
      </c>
      <c r="K6">
        <f t="shared" si="0"/>
        <v>0.73048048048048042</v>
      </c>
      <c r="L6">
        <f t="shared" si="1"/>
        <v>7.2822822822822819E-2</v>
      </c>
      <c r="M6">
        <f t="shared" si="2"/>
        <v>8.5585585585585586E-2</v>
      </c>
      <c r="N6">
        <f t="shared" si="3"/>
        <v>0.11351351351351349</v>
      </c>
      <c r="O6" s="6">
        <f>K6+L6+M6+N6</f>
        <v>1.0024024024024023</v>
      </c>
      <c r="P6" s="17" t="s">
        <v>93</v>
      </c>
      <c r="S6" t="s">
        <v>281</v>
      </c>
      <c r="T6" s="8">
        <f>O47</f>
        <v>0.36534090909090911</v>
      </c>
      <c r="U6" s="8">
        <f>O52</f>
        <v>0.35980113636363642</v>
      </c>
      <c r="V6" s="8">
        <f>O56</f>
        <v>0.95090090090090096</v>
      </c>
      <c r="W6" s="8">
        <f>O58</f>
        <v>0.70690690690690683</v>
      </c>
      <c r="X6" s="8">
        <f>O60</f>
        <v>0.4957957957957958</v>
      </c>
      <c r="Y6" t="s">
        <v>383</v>
      </c>
      <c r="Z6" s="8">
        <f>K47-K60</f>
        <v>-9.0084971334971314E-2</v>
      </c>
      <c r="AA6" s="8">
        <f>L47-L60</f>
        <v>2.0582514332514339E-2</v>
      </c>
      <c r="AB6" s="8">
        <f>M47-M60</f>
        <v>-3.0901071526071522E-2</v>
      </c>
      <c r="AC6" s="8">
        <f>N47-N60</f>
        <v>-3.0051358176358178E-2</v>
      </c>
      <c r="AH6" s="8">
        <f t="shared" ref="AH6:AH10" si="4">T7</f>
        <v>0.62567567567567572</v>
      </c>
      <c r="AI6">
        <f t="shared" ref="AI6:AI34" si="5">AH6*10000</f>
        <v>6256.7567567567576</v>
      </c>
    </row>
    <row r="7" spans="1:35">
      <c r="A7" s="17" t="s">
        <v>312</v>
      </c>
      <c r="B7" s="17" t="s">
        <v>97</v>
      </c>
      <c r="C7" s="5">
        <v>1</v>
      </c>
      <c r="D7" s="5">
        <v>10</v>
      </c>
      <c r="E7" s="5" t="s">
        <v>275</v>
      </c>
      <c r="F7" s="5">
        <v>66.599999999999994</v>
      </c>
      <c r="G7" s="18">
        <v>4789</v>
      </c>
      <c r="H7" s="18">
        <v>553</v>
      </c>
      <c r="I7" s="18">
        <v>528</v>
      </c>
      <c r="J7" s="18">
        <v>711</v>
      </c>
      <c r="K7">
        <f t="shared" si="0"/>
        <v>0.71906906906906909</v>
      </c>
      <c r="L7">
        <f t="shared" si="1"/>
        <v>8.3033033033033027E-2</v>
      </c>
      <c r="M7">
        <f t="shared" si="2"/>
        <v>7.9279279279279274E-2</v>
      </c>
      <c r="N7">
        <f t="shared" si="3"/>
        <v>0.10675675675675675</v>
      </c>
      <c r="O7" s="6">
        <f t="shared" ref="O7:O29" si="6">K7+L7+M7+N7</f>
        <v>0.98813813813813811</v>
      </c>
      <c r="P7" s="17" t="s">
        <v>97</v>
      </c>
      <c r="S7" t="s">
        <v>282</v>
      </c>
      <c r="T7" s="8">
        <f>O28</f>
        <v>0.62567567567567572</v>
      </c>
      <c r="U7" s="8">
        <f>O5</f>
        <v>0.98453453453453443</v>
      </c>
      <c r="V7" s="8">
        <f>O13</f>
        <v>0.57072072072072066</v>
      </c>
      <c r="W7" s="8">
        <f>O17</f>
        <v>0.90030030030030028</v>
      </c>
      <c r="X7" s="8">
        <f>O19</f>
        <v>1.0575075075075073</v>
      </c>
      <c r="Y7" t="s">
        <v>384</v>
      </c>
      <c r="Z7" s="8">
        <f>K19-K28</f>
        <v>0.16231231231231225</v>
      </c>
      <c r="AA7" s="8">
        <f>L19-L28</f>
        <v>3.0030030030030033E-2</v>
      </c>
      <c r="AB7" s="8">
        <f>M19-M28</f>
        <v>5.4504504504504517E-2</v>
      </c>
      <c r="AC7" s="8">
        <f>N19-N28</f>
        <v>0.18498498498498495</v>
      </c>
      <c r="AH7" s="8">
        <f t="shared" si="4"/>
        <v>0.97297297297297292</v>
      </c>
      <c r="AI7">
        <f t="shared" si="5"/>
        <v>9729.72972972973</v>
      </c>
    </row>
    <row r="8" spans="1:35">
      <c r="A8" s="17" t="s">
        <v>313</v>
      </c>
      <c r="B8" s="17" t="s">
        <v>99</v>
      </c>
      <c r="C8" s="5">
        <v>1</v>
      </c>
      <c r="D8" s="5">
        <v>10</v>
      </c>
      <c r="E8" s="5" t="s">
        <v>275</v>
      </c>
      <c r="F8" s="5">
        <v>66.599999999999994</v>
      </c>
      <c r="G8" s="18">
        <v>5118</v>
      </c>
      <c r="H8" s="18">
        <v>588</v>
      </c>
      <c r="I8" s="18">
        <v>474</v>
      </c>
      <c r="J8" s="18">
        <v>793</v>
      </c>
      <c r="K8">
        <f t="shared" si="0"/>
        <v>0.76846846846846839</v>
      </c>
      <c r="L8">
        <f t="shared" si="1"/>
        <v>8.8288288288288289E-2</v>
      </c>
      <c r="M8">
        <f t="shared" si="2"/>
        <v>7.1171171171171166E-2</v>
      </c>
      <c r="N8">
        <f t="shared" si="3"/>
        <v>0.11906906906906907</v>
      </c>
      <c r="O8" s="6">
        <f t="shared" si="6"/>
        <v>1.0469969969969968</v>
      </c>
      <c r="P8" s="17" t="s">
        <v>99</v>
      </c>
      <c r="S8" t="s">
        <v>283</v>
      </c>
      <c r="T8" s="8">
        <f>O26</f>
        <v>0.97297297297297292</v>
      </c>
      <c r="U8" s="8">
        <f>O6</f>
        <v>1.0024024024024023</v>
      </c>
      <c r="V8" s="8">
        <f>O10</f>
        <v>0.94384384384384368</v>
      </c>
      <c r="W8" s="8">
        <f>O15</f>
        <v>0.40060060060060065</v>
      </c>
      <c r="X8" s="8">
        <f>O21</f>
        <v>1.429279279279279</v>
      </c>
      <c r="Y8" t="s">
        <v>385</v>
      </c>
      <c r="Z8" s="8">
        <f>K21-K26</f>
        <v>0.20660660660660668</v>
      </c>
      <c r="AA8" s="8">
        <f>L21-L26</f>
        <v>1.4414414414414406E-2</v>
      </c>
      <c r="AB8" s="8">
        <f>M21-M26</f>
        <v>5.9159159159159133E-2</v>
      </c>
      <c r="AC8" s="8">
        <f>N21-N26</f>
        <v>0.1761261261261261</v>
      </c>
      <c r="AH8" s="8">
        <f t="shared" si="4"/>
        <v>0.46761363636363634</v>
      </c>
      <c r="AI8">
        <f t="shared" si="5"/>
        <v>4676.1363636363631</v>
      </c>
    </row>
    <row r="9" spans="1:35">
      <c r="A9" s="17" t="s">
        <v>314</v>
      </c>
      <c r="B9" s="17" t="s">
        <v>95</v>
      </c>
      <c r="C9" s="5">
        <v>1</v>
      </c>
      <c r="D9" s="5">
        <v>10</v>
      </c>
      <c r="E9" s="5" t="s">
        <v>275</v>
      </c>
      <c r="F9" s="5">
        <v>66.599999999999994</v>
      </c>
      <c r="G9" s="18">
        <v>2192</v>
      </c>
      <c r="H9" s="18">
        <v>227</v>
      </c>
      <c r="I9" s="18">
        <v>191</v>
      </c>
      <c r="J9" s="18">
        <v>303</v>
      </c>
      <c r="K9">
        <f t="shared" si="0"/>
        <v>0.32912912912912912</v>
      </c>
      <c r="L9">
        <f t="shared" si="1"/>
        <v>3.4084084084084081E-2</v>
      </c>
      <c r="M9">
        <f t="shared" si="2"/>
        <v>2.8678678678678675E-2</v>
      </c>
      <c r="N9">
        <f t="shared" si="3"/>
        <v>4.5495495495495496E-2</v>
      </c>
      <c r="O9" s="6">
        <f t="shared" si="6"/>
        <v>0.43738738738738736</v>
      </c>
      <c r="P9" s="17" t="s">
        <v>95</v>
      </c>
      <c r="S9" t="s">
        <v>286</v>
      </c>
      <c r="T9" s="8">
        <f>O51</f>
        <v>0.46761363636363634</v>
      </c>
      <c r="U9" s="8">
        <f>O9</f>
        <v>0.43738738738738736</v>
      </c>
      <c r="V9" s="8">
        <f>O11</f>
        <v>0.83633633633633642</v>
      </c>
      <c r="W9" s="8">
        <f>O18</f>
        <v>1.3582582582582581</v>
      </c>
      <c r="X9" s="8">
        <f>O22</f>
        <v>0.55240240240240235</v>
      </c>
      <c r="Y9" t="s">
        <v>386</v>
      </c>
      <c r="Z9" s="8">
        <f>K22-K51</f>
        <v>-4.9796956046955776E-3</v>
      </c>
      <c r="AA9" s="8">
        <f>L22-L51</f>
        <v>-9.8194785694785749E-3</v>
      </c>
      <c r="AB9" s="8">
        <f>M22-M51</f>
        <v>3.9908800846300836E-2</v>
      </c>
      <c r="AC9" s="8">
        <f>N22-N51</f>
        <v>5.9679139366639378E-2</v>
      </c>
      <c r="AH9" s="8">
        <f t="shared" si="4"/>
        <v>0.69804804804804799</v>
      </c>
      <c r="AI9">
        <f t="shared" si="5"/>
        <v>6980.4804804804799</v>
      </c>
    </row>
    <row r="10" spans="1:35">
      <c r="A10" s="17" t="s">
        <v>315</v>
      </c>
      <c r="B10" s="17" t="s">
        <v>105</v>
      </c>
      <c r="C10" s="5">
        <v>1</v>
      </c>
      <c r="D10" s="5">
        <v>10</v>
      </c>
      <c r="E10" s="5" t="s">
        <v>275</v>
      </c>
      <c r="F10" s="5">
        <v>66.599999999999994</v>
      </c>
      <c r="G10" s="18">
        <v>4572</v>
      </c>
      <c r="H10" s="18">
        <v>353</v>
      </c>
      <c r="I10" s="18">
        <v>561</v>
      </c>
      <c r="J10" s="18">
        <v>800</v>
      </c>
      <c r="K10">
        <f t="shared" si="0"/>
        <v>0.68648648648648636</v>
      </c>
      <c r="L10">
        <f t="shared" si="1"/>
        <v>5.3003003003003007E-2</v>
      </c>
      <c r="M10">
        <f t="shared" si="2"/>
        <v>8.423423423423422E-2</v>
      </c>
      <c r="N10">
        <f t="shared" si="3"/>
        <v>0.12012012012012012</v>
      </c>
      <c r="O10" s="6">
        <f t="shared" si="6"/>
        <v>0.94384384384384368</v>
      </c>
      <c r="P10" s="17" t="s">
        <v>105</v>
      </c>
      <c r="S10" t="s">
        <v>284</v>
      </c>
      <c r="T10" s="8">
        <f>O29</f>
        <v>0.69804804804804799</v>
      </c>
      <c r="U10" s="8">
        <f>O7</f>
        <v>0.98813813813813811</v>
      </c>
      <c r="W10" s="8">
        <f>O16</f>
        <v>0.80345345345345331</v>
      </c>
      <c r="X10" s="8">
        <f>O20</f>
        <v>1.0498498498498496</v>
      </c>
      <c r="Y10" t="s">
        <v>387</v>
      </c>
      <c r="Z10" s="8">
        <f>K20-K29</f>
        <v>0.28423423423423416</v>
      </c>
      <c r="AA10" s="8">
        <f>L20-L29</f>
        <v>3.0480480480480479E-2</v>
      </c>
      <c r="AB10" s="8">
        <f>M20-M29</f>
        <v>9.7897897897897906E-2</v>
      </c>
      <c r="AC10" s="8">
        <f>N20-N29</f>
        <v>-6.0810810810810856E-2</v>
      </c>
      <c r="AH10" s="8">
        <f t="shared" si="4"/>
        <v>0.85210210210210202</v>
      </c>
      <c r="AI10">
        <f t="shared" si="5"/>
        <v>8521.0210210210207</v>
      </c>
    </row>
    <row r="11" spans="1:35">
      <c r="A11" s="17" t="s">
        <v>316</v>
      </c>
      <c r="B11" s="17" t="s">
        <v>107</v>
      </c>
      <c r="C11" s="5">
        <v>1</v>
      </c>
      <c r="D11" s="5">
        <v>10</v>
      </c>
      <c r="E11" s="5" t="s">
        <v>275</v>
      </c>
      <c r="F11" s="5">
        <v>66.599999999999994</v>
      </c>
      <c r="G11" s="18">
        <v>4090</v>
      </c>
      <c r="H11" s="18">
        <v>443</v>
      </c>
      <c r="I11" s="18">
        <v>470</v>
      </c>
      <c r="J11" s="18">
        <v>567</v>
      </c>
      <c r="K11">
        <f t="shared" si="0"/>
        <v>0.6141141141141141</v>
      </c>
      <c r="L11">
        <f t="shared" si="1"/>
        <v>6.6516516516516522E-2</v>
      </c>
      <c r="M11">
        <f t="shared" si="2"/>
        <v>7.0570570570570562E-2</v>
      </c>
      <c r="N11">
        <f t="shared" si="3"/>
        <v>8.513513513513514E-2</v>
      </c>
      <c r="O11" s="6">
        <f t="shared" si="6"/>
        <v>0.83633633633633642</v>
      </c>
      <c r="P11" s="17" t="s">
        <v>107</v>
      </c>
      <c r="S11" t="s">
        <v>285</v>
      </c>
      <c r="T11" s="8">
        <f>O27</f>
        <v>0.85210210210210202</v>
      </c>
      <c r="U11" s="8">
        <f>O8</f>
        <v>1.0469969969969968</v>
      </c>
      <c r="V11" s="8">
        <f>O12</f>
        <v>0.59579579579579578</v>
      </c>
      <c r="W11" s="8">
        <f>O14</f>
        <v>0.28033033033033028</v>
      </c>
      <c r="Z11" s="8"/>
      <c r="AH11" s="8">
        <f>U6</f>
        <v>0.35980113636363642</v>
      </c>
      <c r="AI11">
        <f t="shared" si="5"/>
        <v>3598.0113636363644</v>
      </c>
    </row>
    <row r="12" spans="1:35">
      <c r="A12" s="17" t="s">
        <v>317</v>
      </c>
      <c r="B12" s="17" t="s">
        <v>111</v>
      </c>
      <c r="C12" s="5">
        <v>1</v>
      </c>
      <c r="D12" s="5">
        <v>10</v>
      </c>
      <c r="E12" s="5" t="s">
        <v>275</v>
      </c>
      <c r="F12" s="5">
        <v>66.599999999999994</v>
      </c>
      <c r="G12" s="18">
        <v>2897</v>
      </c>
      <c r="H12" s="18">
        <v>329</v>
      </c>
      <c r="I12" s="18">
        <v>295</v>
      </c>
      <c r="J12" s="18">
        <v>447</v>
      </c>
      <c r="K12">
        <f t="shared" si="0"/>
        <v>0.43498498498498495</v>
      </c>
      <c r="L12">
        <f t="shared" si="1"/>
        <v>4.9399399399399399E-2</v>
      </c>
      <c r="M12">
        <f t="shared" si="2"/>
        <v>4.4294294294294295E-2</v>
      </c>
      <c r="N12">
        <f t="shared" si="3"/>
        <v>6.7117117117117112E-2</v>
      </c>
      <c r="O12" s="6">
        <f t="shared" si="6"/>
        <v>0.59579579579579578</v>
      </c>
      <c r="P12" s="17" t="s">
        <v>111</v>
      </c>
      <c r="AH12" s="8">
        <f t="shared" ref="AH12:AH16" si="7">U7</f>
        <v>0.98453453453453443</v>
      </c>
      <c r="AI12">
        <f t="shared" si="5"/>
        <v>9845.345345345344</v>
      </c>
    </row>
    <row r="13" spans="1:35">
      <c r="A13" s="17" t="s">
        <v>318</v>
      </c>
      <c r="B13" s="17" t="s">
        <v>103</v>
      </c>
      <c r="C13" s="5">
        <v>1</v>
      </c>
      <c r="D13" s="5">
        <v>10</v>
      </c>
      <c r="E13" s="5" t="s">
        <v>275</v>
      </c>
      <c r="F13" s="5">
        <v>66.599999999999994</v>
      </c>
      <c r="G13" s="18">
        <v>2695</v>
      </c>
      <c r="H13" s="18">
        <v>272</v>
      </c>
      <c r="I13" s="18">
        <v>373</v>
      </c>
      <c r="J13" s="18">
        <v>461</v>
      </c>
      <c r="K13">
        <f t="shared" si="0"/>
        <v>0.40465465465465461</v>
      </c>
      <c r="L13">
        <f t="shared" si="1"/>
        <v>4.0840840840840838E-2</v>
      </c>
      <c r="M13">
        <f t="shared" si="2"/>
        <v>5.6006006006005998E-2</v>
      </c>
      <c r="N13">
        <f t="shared" si="3"/>
        <v>6.9219219219219211E-2</v>
      </c>
      <c r="O13" s="6">
        <f t="shared" si="6"/>
        <v>0.57072072072072066</v>
      </c>
      <c r="P13" s="17" t="s">
        <v>103</v>
      </c>
      <c r="T13">
        <v>0</v>
      </c>
      <c r="U13">
        <v>6.25</v>
      </c>
      <c r="V13">
        <v>11</v>
      </c>
      <c r="W13">
        <v>21</v>
      </c>
      <c r="X13">
        <v>32</v>
      </c>
      <c r="Z13" t="str">
        <f>Z5</f>
        <v>R1</v>
      </c>
      <c r="AA13" t="str">
        <f>AA5</f>
        <v>R2</v>
      </c>
      <c r="AB13" t="str">
        <f>AB5</f>
        <v>R3</v>
      </c>
      <c r="AC13" t="str">
        <f>AC5</f>
        <v>R4</v>
      </c>
      <c r="AH13" s="8">
        <f t="shared" si="7"/>
        <v>1.0024024024024023</v>
      </c>
      <c r="AI13">
        <f t="shared" si="5"/>
        <v>10024.024024024024</v>
      </c>
    </row>
    <row r="14" spans="1:35">
      <c r="A14" s="17" t="s">
        <v>319</v>
      </c>
      <c r="B14" s="17" t="s">
        <v>123</v>
      </c>
      <c r="C14" s="5">
        <v>1</v>
      </c>
      <c r="D14" s="5">
        <v>10</v>
      </c>
      <c r="E14" s="5" t="s">
        <v>275</v>
      </c>
      <c r="F14" s="5">
        <v>66.599999999999994</v>
      </c>
      <c r="G14" s="18">
        <v>1224</v>
      </c>
      <c r="H14" s="18">
        <v>112</v>
      </c>
      <c r="I14" s="18">
        <v>214</v>
      </c>
      <c r="J14" s="18">
        <v>317</v>
      </c>
      <c r="K14">
        <f t="shared" si="0"/>
        <v>0.18378378378378377</v>
      </c>
      <c r="L14">
        <f t="shared" si="1"/>
        <v>1.6816816816816817E-2</v>
      </c>
      <c r="M14">
        <f t="shared" si="2"/>
        <v>3.2132132132132132E-2</v>
      </c>
      <c r="N14">
        <f t="shared" si="3"/>
        <v>4.7597597597597595E-2</v>
      </c>
      <c r="O14" s="6">
        <f t="shared" si="6"/>
        <v>0.28033033033033028</v>
      </c>
      <c r="P14" s="17" t="s">
        <v>123</v>
      </c>
      <c r="S14" t="s">
        <v>421</v>
      </c>
      <c r="T14">
        <f>AVERAGE(T6:T8)</f>
        <v>0.65466318591318595</v>
      </c>
      <c r="U14">
        <f>AVERAGE(U6:U8)</f>
        <v>0.78224602443352431</v>
      </c>
      <c r="V14">
        <f>AVERAGE(V6:V8)</f>
        <v>0.82182182182182173</v>
      </c>
      <c r="W14">
        <f>AVERAGE(W6:W8)</f>
        <v>0.66926926926926933</v>
      </c>
      <c r="X14">
        <f>AVERAGE(X6:X8)</f>
        <v>0.99419419419419397</v>
      </c>
      <c r="Y14" t="str">
        <f>S14</f>
        <v>SW+L</v>
      </c>
      <c r="Z14">
        <f>AVERAGE(Z6:Z8)</f>
        <v>9.2944649194649218E-2</v>
      </c>
      <c r="AA14">
        <f>AVERAGE(AA6:AA8)</f>
        <v>2.1675652925652922E-2</v>
      </c>
      <c r="AB14">
        <f>AVERAGE(AB6:AB8)</f>
        <v>2.7587530712530711E-2</v>
      </c>
      <c r="AC14">
        <f>AVERAGE(AC6:AC8)</f>
        <v>0.11035325097825095</v>
      </c>
      <c r="AH14" s="8">
        <f t="shared" si="7"/>
        <v>0.43738738738738736</v>
      </c>
      <c r="AI14">
        <f t="shared" si="5"/>
        <v>4373.8738738738739</v>
      </c>
    </row>
    <row r="15" spans="1:35">
      <c r="A15" s="17" t="s">
        <v>320</v>
      </c>
      <c r="B15" s="17" t="s">
        <v>117</v>
      </c>
      <c r="C15" s="5">
        <v>1</v>
      </c>
      <c r="D15" s="5">
        <v>10</v>
      </c>
      <c r="E15" s="5" t="s">
        <v>275</v>
      </c>
      <c r="F15" s="5">
        <v>66.599999999999994</v>
      </c>
      <c r="G15" s="18">
        <v>1820</v>
      </c>
      <c r="H15" s="18">
        <v>269</v>
      </c>
      <c r="I15" s="18">
        <v>226</v>
      </c>
      <c r="J15" s="18">
        <v>353</v>
      </c>
      <c r="K15">
        <f t="shared" si="0"/>
        <v>0.27327327327327328</v>
      </c>
      <c r="L15">
        <f t="shared" si="1"/>
        <v>4.0390390390390385E-2</v>
      </c>
      <c r="M15">
        <f t="shared" si="2"/>
        <v>3.3933933933933937E-2</v>
      </c>
      <c r="N15">
        <f t="shared" si="3"/>
        <v>5.3003003003003007E-2</v>
      </c>
      <c r="O15" s="6">
        <f t="shared" si="6"/>
        <v>0.40060060060060065</v>
      </c>
      <c r="P15" s="17" t="s">
        <v>117</v>
      </c>
      <c r="S15" t="s">
        <v>14</v>
      </c>
      <c r="T15">
        <f>AVERAGE(T9:T11)</f>
        <v>0.67258792883792873</v>
      </c>
      <c r="U15">
        <f>AVERAGE(U9:U11)</f>
        <v>0.82417417417417405</v>
      </c>
      <c r="V15">
        <f>AVERAGE(V9:V11)</f>
        <v>0.71606606606606604</v>
      </c>
      <c r="W15">
        <f>AVERAGE(W9:W11)</f>
        <v>0.81401401401401385</v>
      </c>
      <c r="X15">
        <f>AVERAGE(X9:X11)</f>
        <v>0.80112612612612599</v>
      </c>
      <c r="Y15" t="str">
        <f>S15</f>
        <v>SW</v>
      </c>
      <c r="Z15">
        <f>AVERAGE(Z9:Z11)</f>
        <v>0.13962726931476929</v>
      </c>
      <c r="AA15">
        <f>AVERAGE(AA9:AA11)</f>
        <v>1.0330500955500952E-2</v>
      </c>
      <c r="AB15">
        <f>AVERAGE(AB9:AB11)</f>
        <v>6.8903349372099368E-2</v>
      </c>
      <c r="AC15">
        <f>AVERAGE(AC9:AC11)</f>
        <v>-5.6583572208573907E-4</v>
      </c>
      <c r="AH15" s="8">
        <f t="shared" si="7"/>
        <v>0.98813813813813811</v>
      </c>
      <c r="AI15">
        <f t="shared" si="5"/>
        <v>9881.3813813813813</v>
      </c>
    </row>
    <row r="16" spans="1:35">
      <c r="A16" s="17" t="s">
        <v>321</v>
      </c>
      <c r="B16" s="17" t="s">
        <v>121</v>
      </c>
      <c r="C16" s="5">
        <v>1</v>
      </c>
      <c r="D16" s="5">
        <v>10</v>
      </c>
      <c r="E16" s="5" t="s">
        <v>275</v>
      </c>
      <c r="F16" s="5">
        <v>66.599999999999994</v>
      </c>
      <c r="G16" s="18">
        <v>3433</v>
      </c>
      <c r="H16" s="18">
        <v>403</v>
      </c>
      <c r="I16" s="18">
        <v>593</v>
      </c>
      <c r="J16" s="18">
        <v>922</v>
      </c>
      <c r="K16">
        <f t="shared" si="0"/>
        <v>0.51546546546546546</v>
      </c>
      <c r="L16">
        <f t="shared" si="1"/>
        <v>6.0510510510510505E-2</v>
      </c>
      <c r="M16">
        <f t="shared" si="2"/>
        <v>8.9039039039039036E-2</v>
      </c>
      <c r="N16">
        <f t="shared" si="3"/>
        <v>0.13843843843843842</v>
      </c>
      <c r="O16" s="6">
        <f t="shared" si="6"/>
        <v>0.80345345345345331</v>
      </c>
      <c r="P16" s="17" t="s">
        <v>121</v>
      </c>
      <c r="AH16" s="8">
        <f t="shared" si="7"/>
        <v>1.0469969969969968</v>
      </c>
      <c r="AI16">
        <f t="shared" si="5"/>
        <v>10469.969969969969</v>
      </c>
    </row>
    <row r="17" spans="1:35">
      <c r="A17" s="17" t="s">
        <v>322</v>
      </c>
      <c r="B17" s="17" t="s">
        <v>115</v>
      </c>
      <c r="C17" s="5">
        <v>1</v>
      </c>
      <c r="D17" s="5">
        <v>10</v>
      </c>
      <c r="E17" s="5" t="s">
        <v>275</v>
      </c>
      <c r="F17" s="5">
        <v>66.599999999999994</v>
      </c>
      <c r="G17" s="18">
        <v>3920</v>
      </c>
      <c r="H17" s="18">
        <v>498</v>
      </c>
      <c r="I17" s="18">
        <v>610</v>
      </c>
      <c r="J17" s="18">
        <v>968</v>
      </c>
      <c r="K17">
        <f t="shared" si="0"/>
        <v>0.58858858858858853</v>
      </c>
      <c r="L17">
        <f t="shared" si="1"/>
        <v>7.477477477477476E-2</v>
      </c>
      <c r="M17">
        <f t="shared" si="2"/>
        <v>9.1591591591591595E-2</v>
      </c>
      <c r="N17">
        <f t="shared" si="3"/>
        <v>0.14534534534534535</v>
      </c>
      <c r="O17" s="6">
        <f t="shared" si="6"/>
        <v>0.90030030030030028</v>
      </c>
      <c r="P17" s="17" t="s">
        <v>115</v>
      </c>
      <c r="T17">
        <f>STDEV(T6:T8)/(SQRT(3))</f>
        <v>0.17600604921111973</v>
      </c>
      <c r="U17">
        <f>STDEV(U6:U8)/(SQRT(3))</f>
        <v>0.21128541341656085</v>
      </c>
      <c r="V17">
        <f>STDEV(V6:V8)/(SQRT(3))</f>
        <v>0.1255670773520611</v>
      </c>
      <c r="W17">
        <f>STDEV(W6:W8)/(SQRT(3))</f>
        <v>0.1454732407182377</v>
      </c>
      <c r="X17">
        <f>STDEV(X6:X8)/(SQRT(3))</f>
        <v>0.27132654693569719</v>
      </c>
      <c r="Z17">
        <f>STDEV(Z6:Z8)</f>
        <v>0.16004804784866966</v>
      </c>
      <c r="AA17">
        <f>STDEV(AA6:AA8)</f>
        <v>7.8649905754248368E-3</v>
      </c>
      <c r="AB17">
        <f>STDEV(AB6:AB8)</f>
        <v>5.0706053843279836E-2</v>
      </c>
      <c r="AC17">
        <f>STDEV(AC6:AC8)</f>
        <v>0.12167460930269802</v>
      </c>
      <c r="AH17" s="8">
        <f>V6</f>
        <v>0.95090090090090096</v>
      </c>
      <c r="AI17">
        <f t="shared" si="5"/>
        <v>9509.0090090090089</v>
      </c>
    </row>
    <row r="18" spans="1:35">
      <c r="A18" s="17" t="s">
        <v>323</v>
      </c>
      <c r="B18" s="17" t="s">
        <v>119</v>
      </c>
      <c r="C18" s="5">
        <v>1</v>
      </c>
      <c r="D18" s="5">
        <v>10</v>
      </c>
      <c r="E18" s="5" t="s">
        <v>275</v>
      </c>
      <c r="F18" s="5">
        <v>66.599999999999994</v>
      </c>
      <c r="G18" s="18">
        <v>6384</v>
      </c>
      <c r="H18" s="18">
        <v>1303</v>
      </c>
      <c r="I18" s="18">
        <v>559</v>
      </c>
      <c r="J18" s="18">
        <v>800</v>
      </c>
      <c r="K18">
        <f t="shared" si="0"/>
        <v>0.95855855855855843</v>
      </c>
      <c r="L18">
        <f t="shared" si="1"/>
        <v>0.19564564564564563</v>
      </c>
      <c r="M18">
        <f t="shared" si="2"/>
        <v>8.3933933933933932E-2</v>
      </c>
      <c r="N18">
        <f t="shared" si="3"/>
        <v>0.12012012012012012</v>
      </c>
      <c r="O18" s="6">
        <f t="shared" si="6"/>
        <v>1.3582582582582581</v>
      </c>
      <c r="P18" s="17" t="s">
        <v>119</v>
      </c>
      <c r="T18">
        <f>STDEV(T9:T11)/(SQRT(3))</f>
        <v>0.1117199002328669</v>
      </c>
      <c r="U18">
        <f>STDEV(U9:U11)/(SQRT(3))</f>
        <v>0.19413835714182226</v>
      </c>
      <c r="V18">
        <f>STDEV(V9:V11)/(SQRT(3))</f>
        <v>9.8200264462929676E-2</v>
      </c>
      <c r="W18">
        <f>STDEV(W9:W11)/(SQRT(3))</f>
        <v>0.31121578715914788</v>
      </c>
      <c r="X18">
        <f>STDEV(X9:X11)/(SQRT(3))</f>
        <v>0.20308207001603276</v>
      </c>
      <c r="Z18">
        <f>STDEV(Z9:Z11)</f>
        <v>0.20450513100271761</v>
      </c>
      <c r="AA18">
        <f>STDEV(AA9:AA11)</f>
        <v>2.8496374325766221E-2</v>
      </c>
      <c r="AB18">
        <f>STDEV(AB9:AB11)</f>
        <v>4.1004483760069127E-2</v>
      </c>
      <c r="AC18">
        <f>STDEV(AC9:AC11)</f>
        <v>8.5199260835304311E-2</v>
      </c>
      <c r="AH18" s="8">
        <f t="shared" ref="AH18:AH22" si="8">V7</f>
        <v>0.57072072072072066</v>
      </c>
      <c r="AI18">
        <f t="shared" si="5"/>
        <v>5707.2072072072069</v>
      </c>
    </row>
    <row r="19" spans="1:35">
      <c r="A19" s="17" t="s">
        <v>324</v>
      </c>
      <c r="B19" s="17" t="s">
        <v>128</v>
      </c>
      <c r="C19" s="5">
        <v>1</v>
      </c>
      <c r="D19" s="5">
        <v>10</v>
      </c>
      <c r="E19" s="5" t="s">
        <v>275</v>
      </c>
      <c r="F19" s="5">
        <v>66.599999999999994</v>
      </c>
      <c r="G19" s="18">
        <v>4155</v>
      </c>
      <c r="H19" s="18">
        <v>391</v>
      </c>
      <c r="I19" s="18">
        <v>761</v>
      </c>
      <c r="J19" s="18">
        <v>1736</v>
      </c>
      <c r="K19">
        <f t="shared" si="0"/>
        <v>0.62387387387387383</v>
      </c>
      <c r="L19">
        <f t="shared" si="1"/>
        <v>5.8708708708708708E-2</v>
      </c>
      <c r="M19">
        <f t="shared" si="2"/>
        <v>0.11426426426426427</v>
      </c>
      <c r="N19">
        <f t="shared" si="3"/>
        <v>0.26066066066066063</v>
      </c>
      <c r="O19" s="6">
        <f t="shared" si="6"/>
        <v>1.0575075075075073</v>
      </c>
      <c r="P19" s="17" t="s">
        <v>128</v>
      </c>
      <c r="AH19" s="8">
        <f t="shared" si="8"/>
        <v>0.94384384384384368</v>
      </c>
      <c r="AI19">
        <f t="shared" si="5"/>
        <v>9438.4384384384375</v>
      </c>
    </row>
    <row r="20" spans="1:35">
      <c r="A20" s="17" t="s">
        <v>325</v>
      </c>
      <c r="B20" s="17" t="s">
        <v>134</v>
      </c>
      <c r="C20" s="5">
        <v>1</v>
      </c>
      <c r="D20" s="5">
        <v>10</v>
      </c>
      <c r="E20" s="5" t="s">
        <v>275</v>
      </c>
      <c r="F20" s="5">
        <v>66.599999999999994</v>
      </c>
      <c r="G20" s="18">
        <v>3522</v>
      </c>
      <c r="H20" s="18">
        <v>325</v>
      </c>
      <c r="I20" s="18">
        <v>1032</v>
      </c>
      <c r="J20" s="18">
        <v>2113</v>
      </c>
      <c r="K20">
        <f t="shared" si="0"/>
        <v>0.52882882882882876</v>
      </c>
      <c r="L20">
        <f t="shared" si="1"/>
        <v>4.8798798798798795E-2</v>
      </c>
      <c r="M20">
        <f t="shared" si="2"/>
        <v>0.15495495495495495</v>
      </c>
      <c r="N20">
        <f t="shared" si="3"/>
        <v>0.31726726726726723</v>
      </c>
      <c r="O20" s="6">
        <f t="shared" si="6"/>
        <v>1.0498498498498496</v>
      </c>
      <c r="P20" s="17" t="s">
        <v>134</v>
      </c>
      <c r="AH20" s="8">
        <f t="shared" si="8"/>
        <v>0.83633633633633642</v>
      </c>
      <c r="AI20">
        <f t="shared" si="5"/>
        <v>8363.3633633633635</v>
      </c>
    </row>
    <row r="21" spans="1:35">
      <c r="A21" s="17" t="s">
        <v>326</v>
      </c>
      <c r="B21" s="17" t="s">
        <v>130</v>
      </c>
      <c r="C21" s="5">
        <v>1</v>
      </c>
      <c r="D21" s="5">
        <v>10</v>
      </c>
      <c r="E21" s="5" t="s">
        <v>275</v>
      </c>
      <c r="F21" s="5">
        <v>66.599999999999994</v>
      </c>
      <c r="G21" s="18">
        <v>6072</v>
      </c>
      <c r="H21" s="18">
        <v>415</v>
      </c>
      <c r="I21" s="18">
        <v>964</v>
      </c>
      <c r="J21" s="18">
        <v>2068</v>
      </c>
      <c r="K21">
        <f t="shared" si="0"/>
        <v>0.91171171171171173</v>
      </c>
      <c r="L21">
        <f t="shared" si="1"/>
        <v>6.2312312312312303E-2</v>
      </c>
      <c r="M21">
        <f t="shared" si="2"/>
        <v>0.14474474474474472</v>
      </c>
      <c r="N21">
        <f t="shared" si="3"/>
        <v>0.31051051051051048</v>
      </c>
      <c r="O21" s="6">
        <f t="shared" si="6"/>
        <v>1.429279279279279</v>
      </c>
      <c r="P21" s="17" t="s">
        <v>130</v>
      </c>
      <c r="AH21" s="8">
        <f t="shared" si="8"/>
        <v>0</v>
      </c>
      <c r="AI21">
        <f t="shared" si="5"/>
        <v>0</v>
      </c>
    </row>
    <row r="22" spans="1:35">
      <c r="A22" s="17" t="s">
        <v>327</v>
      </c>
      <c r="B22" s="17" t="s">
        <v>132</v>
      </c>
      <c r="C22" s="5">
        <v>1</v>
      </c>
      <c r="D22" s="5">
        <v>10</v>
      </c>
      <c r="E22" s="5" t="s">
        <v>275</v>
      </c>
      <c r="F22" s="5">
        <v>66.599999999999994</v>
      </c>
      <c r="G22" s="18">
        <v>1997</v>
      </c>
      <c r="H22" s="18">
        <v>173</v>
      </c>
      <c r="I22" s="18">
        <v>490</v>
      </c>
      <c r="J22" s="18">
        <v>1019</v>
      </c>
      <c r="K22">
        <f t="shared" si="0"/>
        <v>0.29984984984984986</v>
      </c>
      <c r="L22">
        <f t="shared" si="1"/>
        <v>2.5975975975975972E-2</v>
      </c>
      <c r="M22">
        <f t="shared" si="2"/>
        <v>7.3573573573573567E-2</v>
      </c>
      <c r="N22">
        <f t="shared" si="3"/>
        <v>0.15300300300300301</v>
      </c>
      <c r="O22" s="6">
        <f t="shared" si="6"/>
        <v>0.55240240240240235</v>
      </c>
      <c r="P22" s="17" t="s">
        <v>132</v>
      </c>
      <c r="AH22" s="8">
        <f t="shared" si="8"/>
        <v>0.59579579579579578</v>
      </c>
      <c r="AI22">
        <f t="shared" si="5"/>
        <v>5957.9579579579577</v>
      </c>
    </row>
    <row r="23" spans="1:35">
      <c r="A23" s="17" t="s">
        <v>328</v>
      </c>
      <c r="B23" s="17" t="s">
        <v>331</v>
      </c>
      <c r="C23" s="5">
        <v>1</v>
      </c>
      <c r="D23" s="5">
        <v>10</v>
      </c>
      <c r="E23" s="5" t="s">
        <v>275</v>
      </c>
      <c r="F23" s="5">
        <v>66.599999999999994</v>
      </c>
      <c r="G23" s="18">
        <v>3082</v>
      </c>
      <c r="H23" s="18">
        <v>419</v>
      </c>
      <c r="I23" s="18">
        <v>1370</v>
      </c>
      <c r="J23" s="18">
        <v>450</v>
      </c>
      <c r="K23">
        <f t="shared" si="0"/>
        <v>0.46276276276276274</v>
      </c>
      <c r="L23">
        <f t="shared" si="1"/>
        <v>6.2912912912912913E-2</v>
      </c>
      <c r="M23">
        <f t="shared" si="2"/>
        <v>0.2057057057057057</v>
      </c>
      <c r="N23">
        <f t="shared" si="3"/>
        <v>6.7567567567567557E-2</v>
      </c>
      <c r="O23" s="6">
        <f t="shared" si="6"/>
        <v>0.79894894894894886</v>
      </c>
      <c r="P23" s="17" t="s">
        <v>331</v>
      </c>
      <c r="AH23" s="8">
        <f>W6</f>
        <v>0.70690690690690683</v>
      </c>
      <c r="AI23">
        <f t="shared" si="5"/>
        <v>7069.0690690690681</v>
      </c>
    </row>
    <row r="24" spans="1:35">
      <c r="A24" s="17" t="s">
        <v>329</v>
      </c>
      <c r="B24" s="17" t="s">
        <v>332</v>
      </c>
      <c r="C24" s="5">
        <v>1</v>
      </c>
      <c r="D24" s="5">
        <v>10</v>
      </c>
      <c r="E24" s="5" t="s">
        <v>275</v>
      </c>
      <c r="F24" s="5">
        <v>66.599999999999994</v>
      </c>
      <c r="G24" s="18">
        <v>500</v>
      </c>
      <c r="H24" s="18">
        <v>103</v>
      </c>
      <c r="I24" s="18">
        <v>279</v>
      </c>
      <c r="J24" s="18">
        <v>89</v>
      </c>
      <c r="K24">
        <f t="shared" si="0"/>
        <v>7.5075075075075076E-2</v>
      </c>
      <c r="L24">
        <f t="shared" si="1"/>
        <v>1.5465465465465464E-2</v>
      </c>
      <c r="M24">
        <f t="shared" si="2"/>
        <v>4.1891891891891887E-2</v>
      </c>
      <c r="N24">
        <f t="shared" si="3"/>
        <v>1.3363363363363362E-2</v>
      </c>
      <c r="O24" s="6">
        <f t="shared" si="6"/>
        <v>0.1457957957957958</v>
      </c>
      <c r="P24" s="17" t="s">
        <v>332</v>
      </c>
      <c r="AH24" s="8">
        <f t="shared" ref="AH24:AH28" si="9">W7</f>
        <v>0.90030030030030028</v>
      </c>
      <c r="AI24">
        <f t="shared" si="5"/>
        <v>9003.003003003003</v>
      </c>
    </row>
    <row r="25" spans="1:35">
      <c r="A25" s="17" t="s">
        <v>330</v>
      </c>
      <c r="B25" s="17" t="s">
        <v>333</v>
      </c>
      <c r="C25" s="5">
        <v>1</v>
      </c>
      <c r="D25" s="5">
        <v>10</v>
      </c>
      <c r="E25" s="5" t="s">
        <v>275</v>
      </c>
      <c r="F25" s="5">
        <v>66.599999999999994</v>
      </c>
      <c r="G25" s="18">
        <v>7451</v>
      </c>
      <c r="H25" s="18">
        <v>1271</v>
      </c>
      <c r="I25" s="18">
        <v>7163</v>
      </c>
      <c r="J25" s="18">
        <v>1494</v>
      </c>
      <c r="K25">
        <f t="shared" si="0"/>
        <v>1.1187687687687686</v>
      </c>
      <c r="L25">
        <f t="shared" si="1"/>
        <v>0.19084084084084083</v>
      </c>
      <c r="M25">
        <f t="shared" si="2"/>
        <v>1.0755255255255256</v>
      </c>
      <c r="N25">
        <f t="shared" si="3"/>
        <v>0.22432432432432434</v>
      </c>
      <c r="O25" s="6">
        <f t="shared" si="6"/>
        <v>2.6094594594594596</v>
      </c>
      <c r="P25" s="17" t="s">
        <v>333</v>
      </c>
      <c r="AH25" s="8">
        <f t="shared" si="9"/>
        <v>0.40060060060060065</v>
      </c>
      <c r="AI25">
        <f t="shared" si="5"/>
        <v>4006.0060060060064</v>
      </c>
    </row>
    <row r="26" spans="1:35">
      <c r="A26" s="17" t="s">
        <v>306</v>
      </c>
      <c r="B26" s="17" t="s">
        <v>81</v>
      </c>
      <c r="C26" s="5">
        <v>1</v>
      </c>
      <c r="D26" s="5">
        <v>10</v>
      </c>
      <c r="E26" s="5" t="s">
        <v>275</v>
      </c>
      <c r="F26" s="5">
        <v>66.599999999999994</v>
      </c>
      <c r="G26" s="18">
        <v>4696</v>
      </c>
      <c r="H26" s="18">
        <v>319</v>
      </c>
      <c r="I26" s="18">
        <v>570</v>
      </c>
      <c r="J26" s="18">
        <v>895</v>
      </c>
      <c r="K26">
        <f t="shared" si="0"/>
        <v>0.70510510510510505</v>
      </c>
      <c r="L26">
        <f t="shared" si="1"/>
        <v>4.7897897897897897E-2</v>
      </c>
      <c r="M26">
        <f t="shared" si="2"/>
        <v>8.5585585585585586E-2</v>
      </c>
      <c r="N26">
        <f t="shared" si="3"/>
        <v>0.13438438438438438</v>
      </c>
      <c r="O26" s="6">
        <f t="shared" si="6"/>
        <v>0.97297297297297292</v>
      </c>
      <c r="P26" s="17" t="s">
        <v>81</v>
      </c>
      <c r="AH26" s="8">
        <f t="shared" si="9"/>
        <v>1.3582582582582581</v>
      </c>
      <c r="AI26">
        <f t="shared" si="5"/>
        <v>13582.582582582581</v>
      </c>
    </row>
    <row r="27" spans="1:35">
      <c r="A27" s="17" t="s">
        <v>307</v>
      </c>
      <c r="B27" s="17" t="s">
        <v>87</v>
      </c>
      <c r="C27" s="5">
        <v>1</v>
      </c>
      <c r="D27" s="5">
        <v>10</v>
      </c>
      <c r="E27" s="5" t="s">
        <v>275</v>
      </c>
      <c r="F27" s="5">
        <v>66.599999999999994</v>
      </c>
      <c r="G27" s="18">
        <v>4231</v>
      </c>
      <c r="H27" s="18">
        <v>194</v>
      </c>
      <c r="I27" s="18">
        <v>491</v>
      </c>
      <c r="J27" s="18">
        <v>759</v>
      </c>
      <c r="K27">
        <f t="shared" si="0"/>
        <v>0.63528528528528527</v>
      </c>
      <c r="L27">
        <f t="shared" si="1"/>
        <v>2.9129129129129124E-2</v>
      </c>
      <c r="M27">
        <f t="shared" si="2"/>
        <v>7.3723723723723725E-2</v>
      </c>
      <c r="N27">
        <f t="shared" si="3"/>
        <v>0.11396396396396397</v>
      </c>
      <c r="O27" s="6">
        <f t="shared" si="6"/>
        <v>0.85210210210210202</v>
      </c>
      <c r="P27" s="17" t="s">
        <v>87</v>
      </c>
      <c r="AH27" s="8">
        <f t="shared" si="9"/>
        <v>0.80345345345345331</v>
      </c>
      <c r="AI27">
        <f t="shared" si="5"/>
        <v>8034.5345345345331</v>
      </c>
    </row>
    <row r="28" spans="1:35">
      <c r="A28" s="17" t="s">
        <v>308</v>
      </c>
      <c r="B28" s="17" t="s">
        <v>79</v>
      </c>
      <c r="C28" s="5">
        <v>1</v>
      </c>
      <c r="D28" s="5">
        <v>10</v>
      </c>
      <c r="E28" s="5" t="s">
        <v>275</v>
      </c>
      <c r="F28" s="5">
        <v>66.599999999999994</v>
      </c>
      <c r="G28" s="18">
        <v>3074</v>
      </c>
      <c r="H28" s="18">
        <v>191</v>
      </c>
      <c r="I28" s="18">
        <v>398</v>
      </c>
      <c r="J28" s="18">
        <v>504</v>
      </c>
      <c r="K28">
        <f t="shared" si="0"/>
        <v>0.46156156156156158</v>
      </c>
      <c r="L28">
        <f t="shared" si="1"/>
        <v>2.8678678678678675E-2</v>
      </c>
      <c r="M28">
        <f t="shared" si="2"/>
        <v>5.9759759759759751E-2</v>
      </c>
      <c r="N28">
        <f t="shared" si="3"/>
        <v>7.567567567567568E-2</v>
      </c>
      <c r="O28" s="6">
        <f t="shared" si="6"/>
        <v>0.62567567567567572</v>
      </c>
      <c r="P28" s="17" t="s">
        <v>79</v>
      </c>
      <c r="AH28" s="8">
        <f t="shared" si="9"/>
        <v>0.28033033033033028</v>
      </c>
      <c r="AI28">
        <f t="shared" si="5"/>
        <v>2803.303303303303</v>
      </c>
    </row>
    <row r="29" spans="1:35">
      <c r="A29" s="17" t="s">
        <v>309</v>
      </c>
      <c r="B29" s="17" t="s">
        <v>85</v>
      </c>
      <c r="C29" s="5">
        <v>1</v>
      </c>
      <c r="D29" s="5">
        <v>10</v>
      </c>
      <c r="E29" s="5" t="s">
        <v>275</v>
      </c>
      <c r="F29" s="5">
        <v>66.599999999999994</v>
      </c>
      <c r="G29" s="18">
        <v>1629</v>
      </c>
      <c r="H29" s="18">
        <v>122</v>
      </c>
      <c r="I29" s="18">
        <v>380</v>
      </c>
      <c r="J29" s="18">
        <v>2518</v>
      </c>
      <c r="K29">
        <f t="shared" si="0"/>
        <v>0.24459459459459459</v>
      </c>
      <c r="L29">
        <f t="shared" si="1"/>
        <v>1.8318318318318316E-2</v>
      </c>
      <c r="M29">
        <f t="shared" si="2"/>
        <v>5.7057057057057055E-2</v>
      </c>
      <c r="N29">
        <f t="shared" si="3"/>
        <v>0.37807807807807808</v>
      </c>
      <c r="O29" s="6">
        <f t="shared" si="6"/>
        <v>0.69804804804804799</v>
      </c>
      <c r="P29" s="17" t="s">
        <v>85</v>
      </c>
      <c r="AH29" s="8">
        <f>X6</f>
        <v>0.4957957957957958</v>
      </c>
      <c r="AI29">
        <f t="shared" si="5"/>
        <v>4957.9579579579577</v>
      </c>
    </row>
    <row r="30" spans="1:35">
      <c r="C30" s="5"/>
      <c r="D30" s="5"/>
      <c r="E30" s="5"/>
      <c r="F30" s="5"/>
      <c r="G30" s="18"/>
      <c r="H30" s="18"/>
      <c r="I30" s="18"/>
      <c r="J30" s="18"/>
      <c r="K30" t="e">
        <f t="shared" si="0"/>
        <v>#DIV/0!</v>
      </c>
      <c r="L30" t="e">
        <f t="shared" si="1"/>
        <v>#DIV/0!</v>
      </c>
      <c r="M30" t="e">
        <f t="shared" si="2"/>
        <v>#DIV/0!</v>
      </c>
      <c r="N30" t="e">
        <f t="shared" si="3"/>
        <v>#DIV/0!</v>
      </c>
      <c r="O30" s="6"/>
      <c r="AH30" s="8">
        <f t="shared" ref="AH30:AH34" si="10">X7</f>
        <v>1.0575075075075073</v>
      </c>
      <c r="AI30">
        <f t="shared" si="5"/>
        <v>10575.075075075074</v>
      </c>
    </row>
    <row r="31" spans="1:35">
      <c r="A31" s="19"/>
      <c r="B31" s="19"/>
      <c r="C31" s="5"/>
      <c r="D31" s="5"/>
      <c r="E31" s="5"/>
      <c r="F31" s="5"/>
      <c r="G31" s="20"/>
      <c r="H31" s="20"/>
      <c r="I31" s="20"/>
      <c r="J31" s="20"/>
      <c r="K31" t="e">
        <f t="shared" si="0"/>
        <v>#DIV/0!</v>
      </c>
      <c r="L31" t="e">
        <f t="shared" si="1"/>
        <v>#DIV/0!</v>
      </c>
      <c r="M31" t="e">
        <f t="shared" si="2"/>
        <v>#DIV/0!</v>
      </c>
      <c r="N31" t="e">
        <f t="shared" si="3"/>
        <v>#DIV/0!</v>
      </c>
      <c r="O31" s="6"/>
      <c r="P31" s="19"/>
      <c r="AH31" s="8">
        <f t="shared" si="10"/>
        <v>1.429279279279279</v>
      </c>
      <c r="AI31">
        <f t="shared" si="5"/>
        <v>14292.79279279279</v>
      </c>
    </row>
    <row r="32" spans="1:35">
      <c r="A32" s="19"/>
      <c r="B32" s="19"/>
      <c r="C32" s="5"/>
      <c r="D32" s="5"/>
      <c r="E32" s="5"/>
      <c r="F32" s="5"/>
      <c r="G32" s="20"/>
      <c r="H32" s="20"/>
      <c r="I32" s="20"/>
      <c r="J32" s="20"/>
      <c r="K32" t="e">
        <f t="shared" si="0"/>
        <v>#DIV/0!</v>
      </c>
      <c r="L32" t="e">
        <f t="shared" si="1"/>
        <v>#DIV/0!</v>
      </c>
      <c r="M32" t="e">
        <f t="shared" si="2"/>
        <v>#DIV/0!</v>
      </c>
      <c r="N32" t="e">
        <f t="shared" si="3"/>
        <v>#DIV/0!</v>
      </c>
      <c r="O32" s="6"/>
      <c r="P32" s="19"/>
      <c r="AH32" s="8">
        <f t="shared" si="10"/>
        <v>0.55240240240240235</v>
      </c>
      <c r="AI32">
        <f t="shared" si="5"/>
        <v>5524.0240240240237</v>
      </c>
    </row>
    <row r="33" spans="1:35">
      <c r="A33" s="19" t="s">
        <v>361</v>
      </c>
      <c r="B33" s="19" t="s">
        <v>77</v>
      </c>
      <c r="C33" s="5">
        <v>1</v>
      </c>
      <c r="D33" s="5">
        <v>1</v>
      </c>
      <c r="E33" s="5" t="s">
        <v>275</v>
      </c>
      <c r="F33" s="5">
        <v>70.400000000000006</v>
      </c>
      <c r="G33" s="20">
        <v>99</v>
      </c>
      <c r="H33" s="20">
        <v>8</v>
      </c>
      <c r="I33" s="20">
        <v>2</v>
      </c>
      <c r="J33" s="20">
        <v>21</v>
      </c>
      <c r="K33">
        <f t="shared" si="0"/>
        <v>0.140625</v>
      </c>
      <c r="L33">
        <f t="shared" si="1"/>
        <v>1.1363636363636362E-2</v>
      </c>
      <c r="M33">
        <f t="shared" si="2"/>
        <v>2.8409090909090906E-3</v>
      </c>
      <c r="N33">
        <f t="shared" si="3"/>
        <v>2.9829545454545449E-2</v>
      </c>
      <c r="O33" s="6">
        <f t="shared" ref="O33:O60" si="11">K33+L33+M33+N33</f>
        <v>0.18465909090909088</v>
      </c>
      <c r="P33" s="19" t="s">
        <v>77</v>
      </c>
      <c r="R33" t="s">
        <v>375</v>
      </c>
      <c r="AH33" s="8">
        <f t="shared" si="10"/>
        <v>1.0498498498498496</v>
      </c>
      <c r="AI33">
        <f t="shared" si="5"/>
        <v>10498.498498498497</v>
      </c>
    </row>
    <row r="34" spans="1:35">
      <c r="A34" s="19" t="s">
        <v>362</v>
      </c>
      <c r="B34" s="19" t="s">
        <v>83</v>
      </c>
      <c r="C34" s="5">
        <v>1</v>
      </c>
      <c r="D34" s="5">
        <v>1</v>
      </c>
      <c r="E34" s="5" t="s">
        <v>275</v>
      </c>
      <c r="F34" s="5">
        <v>70.400000000000006</v>
      </c>
      <c r="G34" s="20">
        <v>366</v>
      </c>
      <c r="H34" s="20">
        <v>46</v>
      </c>
      <c r="I34" s="20">
        <v>7</v>
      </c>
      <c r="J34" s="20">
        <v>47</v>
      </c>
      <c r="K34">
        <f t="shared" si="0"/>
        <v>0.51988636363636365</v>
      </c>
      <c r="L34">
        <f t="shared" si="1"/>
        <v>6.5340909090909088E-2</v>
      </c>
      <c r="M34">
        <f t="shared" si="2"/>
        <v>9.943181818181818E-3</v>
      </c>
      <c r="N34">
        <f t="shared" si="3"/>
        <v>6.6761363636363633E-2</v>
      </c>
      <c r="O34" s="6">
        <f t="shared" si="11"/>
        <v>0.66193181818181812</v>
      </c>
      <c r="P34" s="19" t="s">
        <v>83</v>
      </c>
      <c r="R34" t="s">
        <v>375</v>
      </c>
      <c r="AH34" s="8">
        <f t="shared" si="10"/>
        <v>0</v>
      </c>
      <c r="AI34">
        <f t="shared" si="5"/>
        <v>0</v>
      </c>
    </row>
    <row r="35" spans="1:35">
      <c r="A35" s="19"/>
      <c r="B35" s="19"/>
      <c r="C35" s="5"/>
      <c r="D35" s="5"/>
      <c r="E35" s="5"/>
      <c r="F35" s="5"/>
      <c r="G35" s="20"/>
      <c r="H35" s="20"/>
      <c r="I35" s="20"/>
      <c r="J35" s="20"/>
      <c r="K35" t="e">
        <f t="shared" si="0"/>
        <v>#DIV/0!</v>
      </c>
      <c r="L35" t="e">
        <f t="shared" si="1"/>
        <v>#DIV/0!</v>
      </c>
      <c r="M35" t="e">
        <f t="shared" si="2"/>
        <v>#DIV/0!</v>
      </c>
      <c r="N35" t="e">
        <f t="shared" si="3"/>
        <v>#DIV/0!</v>
      </c>
      <c r="O35" s="6"/>
      <c r="P35" s="19"/>
    </row>
    <row r="36" spans="1:35">
      <c r="A36" s="19"/>
      <c r="B36" s="19"/>
      <c r="C36" s="5"/>
      <c r="D36" s="5"/>
      <c r="E36" s="5"/>
      <c r="F36" s="5"/>
      <c r="G36" s="20"/>
      <c r="H36" s="20"/>
      <c r="I36" s="20"/>
      <c r="J36" s="20"/>
      <c r="K36" t="e">
        <f t="shared" si="0"/>
        <v>#DIV/0!</v>
      </c>
      <c r="L36" t="e">
        <f t="shared" si="1"/>
        <v>#DIV/0!</v>
      </c>
      <c r="M36" t="e">
        <f t="shared" si="2"/>
        <v>#DIV/0!</v>
      </c>
      <c r="N36" t="e">
        <f t="shared" si="3"/>
        <v>#DIV/0!</v>
      </c>
      <c r="O36" s="6"/>
      <c r="P36" s="19"/>
    </row>
    <row r="37" spans="1:35">
      <c r="A37" s="19"/>
      <c r="B37" s="19"/>
      <c r="C37" s="5"/>
      <c r="D37" s="5"/>
      <c r="E37" s="5"/>
      <c r="F37" s="5"/>
      <c r="G37" s="20"/>
      <c r="H37" s="20"/>
      <c r="I37" s="20"/>
      <c r="J37" s="20"/>
      <c r="K37" t="e">
        <f t="shared" si="0"/>
        <v>#DIV/0!</v>
      </c>
      <c r="L37" t="e">
        <f t="shared" si="1"/>
        <v>#DIV/0!</v>
      </c>
      <c r="M37" t="e">
        <f t="shared" si="2"/>
        <v>#DIV/0!</v>
      </c>
      <c r="N37" t="e">
        <f t="shared" si="3"/>
        <v>#DIV/0!</v>
      </c>
      <c r="O37" s="6"/>
      <c r="P37" s="19"/>
    </row>
    <row r="38" spans="1:35">
      <c r="A38" s="19" t="s">
        <v>370</v>
      </c>
      <c r="B38" s="19" t="s">
        <v>89</v>
      </c>
      <c r="C38" s="5">
        <v>1</v>
      </c>
      <c r="D38" s="5">
        <v>1</v>
      </c>
      <c r="E38" s="5" t="s">
        <v>275</v>
      </c>
      <c r="F38" s="5">
        <v>70.400000000000006</v>
      </c>
      <c r="G38" s="20">
        <v>46</v>
      </c>
      <c r="H38" s="20">
        <v>2</v>
      </c>
      <c r="I38" s="20">
        <v>2</v>
      </c>
      <c r="J38" s="20">
        <v>6</v>
      </c>
      <c r="K38">
        <f t="shared" si="0"/>
        <v>6.5340909090909088E-2</v>
      </c>
      <c r="L38">
        <f t="shared" si="1"/>
        <v>2.8409090909090906E-3</v>
      </c>
      <c r="M38">
        <f t="shared" si="2"/>
        <v>2.8409090909090906E-3</v>
      </c>
      <c r="N38">
        <f t="shared" si="3"/>
        <v>8.5227272727272721E-3</v>
      </c>
      <c r="O38" s="6">
        <f t="shared" si="11"/>
        <v>7.954545454545453E-2</v>
      </c>
      <c r="P38" s="19" t="s">
        <v>89</v>
      </c>
      <c r="R38" t="s">
        <v>375</v>
      </c>
      <c r="U38" t="s">
        <v>395</v>
      </c>
      <c r="V38" t="s">
        <v>396</v>
      </c>
      <c r="W38" t="s">
        <v>397</v>
      </c>
    </row>
    <row r="39" spans="1:35">
      <c r="A39" s="19" t="s">
        <v>371</v>
      </c>
      <c r="B39" s="19" t="s">
        <v>89</v>
      </c>
      <c r="C39" s="5">
        <v>1</v>
      </c>
      <c r="D39" s="5">
        <v>5</v>
      </c>
      <c r="E39" s="5" t="s">
        <v>275</v>
      </c>
      <c r="F39" s="5">
        <v>70.400000000000006</v>
      </c>
      <c r="G39" s="20">
        <v>67</v>
      </c>
      <c r="H39" s="20">
        <v>9</v>
      </c>
      <c r="I39" s="20">
        <v>3</v>
      </c>
      <c r="J39" s="20">
        <v>5</v>
      </c>
      <c r="K39">
        <f t="shared" si="0"/>
        <v>1.903409090909091E-2</v>
      </c>
      <c r="L39">
        <f t="shared" si="1"/>
        <v>2.5568181818181818E-3</v>
      </c>
      <c r="M39">
        <f t="shared" si="2"/>
        <v>8.5227272727272734E-4</v>
      </c>
      <c r="N39">
        <f t="shared" si="3"/>
        <v>1.4204545454545455E-3</v>
      </c>
      <c r="O39" s="6">
        <f t="shared" si="11"/>
        <v>2.3863636363636361E-2</v>
      </c>
      <c r="P39" s="19" t="s">
        <v>89</v>
      </c>
      <c r="R39" t="s">
        <v>375</v>
      </c>
      <c r="T39" t="s">
        <v>281</v>
      </c>
      <c r="V39" s="8">
        <f>O23</f>
        <v>0.79894894894894886</v>
      </c>
    </row>
    <row r="40" spans="1:35">
      <c r="A40" s="19" t="s">
        <v>372</v>
      </c>
      <c r="B40" s="19" t="s">
        <v>101</v>
      </c>
      <c r="C40" s="5">
        <v>1</v>
      </c>
      <c r="D40" s="5">
        <v>1</v>
      </c>
      <c r="E40" s="5" t="s">
        <v>275</v>
      </c>
      <c r="F40" s="5">
        <v>70.400000000000006</v>
      </c>
      <c r="G40" s="20">
        <v>289</v>
      </c>
      <c r="H40" s="20">
        <v>38</v>
      </c>
      <c r="I40" s="20">
        <v>13</v>
      </c>
      <c r="J40" s="20">
        <v>34</v>
      </c>
      <c r="K40">
        <f t="shared" si="0"/>
        <v>0.41051136363636359</v>
      </c>
      <c r="L40">
        <f t="shared" si="1"/>
        <v>5.3977272727272728E-2</v>
      </c>
      <c r="M40">
        <f t="shared" si="2"/>
        <v>1.8465909090909092E-2</v>
      </c>
      <c r="N40">
        <f t="shared" si="3"/>
        <v>4.8295454545454544E-2</v>
      </c>
      <c r="O40" s="6">
        <f t="shared" si="11"/>
        <v>0.53125</v>
      </c>
      <c r="P40" s="19" t="s">
        <v>101</v>
      </c>
      <c r="R40" t="s">
        <v>375</v>
      </c>
      <c r="T40" t="s">
        <v>282</v>
      </c>
      <c r="U40" s="8">
        <f>O19</f>
        <v>1.0575075075075073</v>
      </c>
      <c r="V40" s="8">
        <f>O24</f>
        <v>0.1457957957957958</v>
      </c>
      <c r="W40">
        <f>U40/V40</f>
        <v>7.2533470648815639</v>
      </c>
    </row>
    <row r="41" spans="1:35">
      <c r="A41" s="19"/>
      <c r="B41" s="19"/>
      <c r="C41" s="5"/>
      <c r="D41" s="5"/>
      <c r="E41" s="5"/>
      <c r="F41" s="5"/>
      <c r="G41" s="20"/>
      <c r="H41" s="20"/>
      <c r="I41" s="20"/>
      <c r="J41" s="20"/>
      <c r="K41" t="e">
        <f t="shared" si="0"/>
        <v>#DIV/0!</v>
      </c>
      <c r="L41" t="e">
        <f t="shared" si="1"/>
        <v>#DIV/0!</v>
      </c>
      <c r="M41" t="e">
        <f t="shared" si="2"/>
        <v>#DIV/0!</v>
      </c>
      <c r="N41" t="e">
        <f t="shared" si="3"/>
        <v>#DIV/0!</v>
      </c>
      <c r="O41" s="6"/>
      <c r="P41" s="19"/>
      <c r="T41" t="s">
        <v>283</v>
      </c>
      <c r="U41" s="8">
        <f>O21</f>
        <v>1.429279279279279</v>
      </c>
      <c r="V41" s="8">
        <f>O25</f>
        <v>2.6094594594594596</v>
      </c>
      <c r="W41">
        <f>U41/V41</f>
        <v>0.54773001898843421</v>
      </c>
    </row>
    <row r="42" spans="1:35">
      <c r="A42" s="19" t="s">
        <v>373</v>
      </c>
      <c r="B42" s="19" t="s">
        <v>113</v>
      </c>
      <c r="C42" s="5">
        <v>1</v>
      </c>
      <c r="D42" s="5">
        <v>1</v>
      </c>
      <c r="E42" s="5" t="s">
        <v>275</v>
      </c>
      <c r="F42" s="5">
        <v>70.400000000000006</v>
      </c>
      <c r="G42" s="20">
        <v>424</v>
      </c>
      <c r="H42" s="20">
        <v>48</v>
      </c>
      <c r="I42" s="20">
        <v>18</v>
      </c>
      <c r="J42" s="20">
        <v>123</v>
      </c>
      <c r="K42">
        <f t="shared" si="0"/>
        <v>0.60227272727272718</v>
      </c>
      <c r="L42">
        <f t="shared" si="1"/>
        <v>6.8181818181818177E-2</v>
      </c>
      <c r="M42">
        <f t="shared" si="2"/>
        <v>2.5568181818181816E-2</v>
      </c>
      <c r="N42">
        <f t="shared" si="3"/>
        <v>0.17471590909090909</v>
      </c>
      <c r="O42" s="6">
        <f t="shared" si="11"/>
        <v>0.87073863636363624</v>
      </c>
      <c r="P42" s="19" t="s">
        <v>113</v>
      </c>
      <c r="R42" t="s">
        <v>375</v>
      </c>
    </row>
    <row r="43" spans="1:35">
      <c r="A43" s="19"/>
      <c r="B43" s="19"/>
      <c r="C43" s="5"/>
      <c r="D43" s="5"/>
      <c r="E43" s="5"/>
      <c r="F43" s="5"/>
      <c r="G43" s="20"/>
      <c r="H43" s="20"/>
      <c r="I43" s="20"/>
      <c r="J43" s="20"/>
      <c r="K43" t="e">
        <f t="shared" si="0"/>
        <v>#DIV/0!</v>
      </c>
      <c r="L43" t="e">
        <f t="shared" si="1"/>
        <v>#DIV/0!</v>
      </c>
      <c r="M43" t="e">
        <f t="shared" si="2"/>
        <v>#DIV/0!</v>
      </c>
      <c r="N43" t="e">
        <f t="shared" si="3"/>
        <v>#DIV/0!</v>
      </c>
      <c r="O43" s="6"/>
      <c r="P43" s="19"/>
    </row>
    <row r="44" spans="1:35">
      <c r="A44" s="19" t="s">
        <v>374</v>
      </c>
      <c r="B44" s="19" t="s">
        <v>125</v>
      </c>
      <c r="C44" s="5">
        <v>1</v>
      </c>
      <c r="D44" s="5">
        <v>1</v>
      </c>
      <c r="E44" s="5" t="s">
        <v>275</v>
      </c>
      <c r="F44" s="5">
        <v>70.400000000000006</v>
      </c>
      <c r="G44" s="20">
        <v>554</v>
      </c>
      <c r="H44" s="20">
        <v>24</v>
      </c>
      <c r="I44" s="20">
        <v>66</v>
      </c>
      <c r="J44" s="20">
        <v>214</v>
      </c>
      <c r="K44">
        <f t="shared" si="0"/>
        <v>0.78693181818181812</v>
      </c>
      <c r="L44">
        <f t="shared" si="1"/>
        <v>3.4090909090909088E-2</v>
      </c>
      <c r="M44">
        <f t="shared" si="2"/>
        <v>9.375E-2</v>
      </c>
      <c r="N44">
        <f t="shared" si="3"/>
        <v>0.30397727272727271</v>
      </c>
      <c r="O44" s="6">
        <f t="shared" si="11"/>
        <v>1.21875</v>
      </c>
      <c r="P44" s="19" t="s">
        <v>125</v>
      </c>
      <c r="R44" t="s">
        <v>375</v>
      </c>
    </row>
    <row r="45" spans="1:35">
      <c r="A45" s="19"/>
      <c r="B45" s="19"/>
      <c r="C45" s="5"/>
      <c r="D45" s="5"/>
      <c r="E45" s="5"/>
      <c r="F45" s="5"/>
      <c r="G45" s="20"/>
      <c r="H45" s="20"/>
      <c r="I45" s="20"/>
      <c r="J45" s="20"/>
      <c r="K45" t="e">
        <f t="shared" si="0"/>
        <v>#DIV/0!</v>
      </c>
      <c r="L45" t="e">
        <f t="shared" si="1"/>
        <v>#DIV/0!</v>
      </c>
      <c r="M45" t="e">
        <f t="shared" si="2"/>
        <v>#DIV/0!</v>
      </c>
      <c r="N45" t="e">
        <f t="shared" si="3"/>
        <v>#DIV/0!</v>
      </c>
      <c r="O45" s="6"/>
      <c r="P45" s="19"/>
    </row>
    <row r="46" spans="1:35">
      <c r="A46" s="19" t="s">
        <v>267</v>
      </c>
      <c r="B46" s="19" t="s">
        <v>77</v>
      </c>
      <c r="C46" s="5">
        <v>1</v>
      </c>
      <c r="D46" s="5">
        <v>10</v>
      </c>
      <c r="E46" s="5" t="s">
        <v>275</v>
      </c>
      <c r="F46" s="5">
        <v>70.400000000000006</v>
      </c>
      <c r="G46" s="21">
        <v>4249</v>
      </c>
      <c r="H46" s="21">
        <v>908</v>
      </c>
      <c r="I46" s="21">
        <v>413</v>
      </c>
      <c r="J46" s="21">
        <v>1831</v>
      </c>
      <c r="K46">
        <f t="shared" si="0"/>
        <v>0.60355113636363644</v>
      </c>
      <c r="L46">
        <f t="shared" si="1"/>
        <v>0.12897727272727272</v>
      </c>
      <c r="M46">
        <f t="shared" si="2"/>
        <v>5.8664772727272725E-2</v>
      </c>
      <c r="N46">
        <f t="shared" si="3"/>
        <v>0.26008522727272732</v>
      </c>
      <c r="O46" s="6">
        <f t="shared" si="11"/>
        <v>1.0512784090909093</v>
      </c>
      <c r="P46" s="19" t="s">
        <v>77</v>
      </c>
      <c r="R46" t="s">
        <v>376</v>
      </c>
    </row>
    <row r="47" spans="1:35">
      <c r="A47" s="19" t="s">
        <v>268</v>
      </c>
      <c r="B47" s="19" t="s">
        <v>77</v>
      </c>
      <c r="C47" s="5">
        <v>1</v>
      </c>
      <c r="D47" s="5">
        <v>5</v>
      </c>
      <c r="E47" s="5" t="s">
        <v>275</v>
      </c>
      <c r="F47" s="5">
        <v>70.400000000000006</v>
      </c>
      <c r="G47" s="21">
        <v>750</v>
      </c>
      <c r="H47" s="21">
        <v>166</v>
      </c>
      <c r="I47" s="21">
        <v>63</v>
      </c>
      <c r="J47" s="21">
        <v>307</v>
      </c>
      <c r="K47">
        <f t="shared" si="0"/>
        <v>0.21306818181818185</v>
      </c>
      <c r="L47">
        <f t="shared" si="1"/>
        <v>4.7159090909090914E-2</v>
      </c>
      <c r="M47">
        <f t="shared" si="2"/>
        <v>1.7897727272727273E-2</v>
      </c>
      <c r="N47">
        <f t="shared" si="3"/>
        <v>8.7215909090909094E-2</v>
      </c>
      <c r="O47" s="6">
        <f t="shared" si="11"/>
        <v>0.36534090909090911</v>
      </c>
      <c r="P47" s="19" t="s">
        <v>77</v>
      </c>
      <c r="R47" t="s">
        <v>376</v>
      </c>
    </row>
    <row r="48" spans="1:35">
      <c r="A48" s="19"/>
      <c r="B48" s="19"/>
      <c r="C48" s="5"/>
      <c r="D48" s="5"/>
      <c r="E48" s="5"/>
      <c r="F48" s="5"/>
      <c r="G48" s="21"/>
      <c r="H48" s="21"/>
      <c r="I48" s="21"/>
      <c r="J48" s="21"/>
      <c r="K48" t="e">
        <f t="shared" si="0"/>
        <v>#DIV/0!</v>
      </c>
      <c r="L48" t="e">
        <f t="shared" si="1"/>
        <v>#DIV/0!</v>
      </c>
      <c r="M48" t="e">
        <f t="shared" si="2"/>
        <v>#DIV/0!</v>
      </c>
      <c r="N48" t="e">
        <f t="shared" si="3"/>
        <v>#DIV/0!</v>
      </c>
      <c r="O48" s="6"/>
      <c r="P48" s="19"/>
    </row>
    <row r="49" spans="1:18">
      <c r="A49" s="19"/>
      <c r="B49" s="19"/>
      <c r="C49" s="5"/>
      <c r="D49" s="5"/>
      <c r="E49" s="5"/>
      <c r="F49" s="5"/>
      <c r="G49" s="21"/>
      <c r="H49" s="21"/>
      <c r="I49" s="21"/>
      <c r="J49" s="21"/>
      <c r="K49" t="e">
        <f t="shared" si="0"/>
        <v>#DIV/0!</v>
      </c>
      <c r="L49" t="e">
        <f t="shared" si="1"/>
        <v>#DIV/0!</v>
      </c>
      <c r="M49" t="e">
        <f t="shared" si="2"/>
        <v>#DIV/0!</v>
      </c>
      <c r="N49" t="e">
        <f t="shared" si="3"/>
        <v>#DIV/0!</v>
      </c>
      <c r="O49" s="6"/>
      <c r="P49" s="19"/>
    </row>
    <row r="50" spans="1:18">
      <c r="A50" s="19" t="s">
        <v>269</v>
      </c>
      <c r="B50" s="19" t="s">
        <v>83</v>
      </c>
      <c r="C50" s="5">
        <v>1</v>
      </c>
      <c r="D50" s="5">
        <v>5</v>
      </c>
      <c r="E50" s="5" t="s">
        <v>275</v>
      </c>
      <c r="F50" s="5">
        <v>70.400000000000006</v>
      </c>
      <c r="G50" s="21">
        <v>1820</v>
      </c>
      <c r="H50" s="21">
        <v>241</v>
      </c>
      <c r="I50" s="21">
        <v>215</v>
      </c>
      <c r="J50" s="21">
        <v>340</v>
      </c>
      <c r="K50">
        <f t="shared" si="0"/>
        <v>0.51704545454545459</v>
      </c>
      <c r="L50">
        <f t="shared" si="1"/>
        <v>6.8465909090909105E-2</v>
      </c>
      <c r="M50">
        <f t="shared" si="2"/>
        <v>6.1079545454545463E-2</v>
      </c>
      <c r="N50">
        <f t="shared" si="3"/>
        <v>9.6590909090909102E-2</v>
      </c>
      <c r="O50" s="6">
        <f t="shared" si="11"/>
        <v>0.74318181818181817</v>
      </c>
      <c r="P50" s="19" t="s">
        <v>83</v>
      </c>
      <c r="R50" t="s">
        <v>376</v>
      </c>
    </row>
    <row r="51" spans="1:18">
      <c r="A51" s="19" t="s">
        <v>270</v>
      </c>
      <c r="B51" s="19" t="s">
        <v>83</v>
      </c>
      <c r="C51" s="5">
        <v>1</v>
      </c>
      <c r="D51" s="5">
        <v>10</v>
      </c>
      <c r="E51" s="5" t="s">
        <v>275</v>
      </c>
      <c r="F51" s="5">
        <v>70.400000000000006</v>
      </c>
      <c r="G51" s="21">
        <v>2146</v>
      </c>
      <c r="H51" s="21">
        <v>252</v>
      </c>
      <c r="I51" s="21">
        <v>237</v>
      </c>
      <c r="J51" s="21">
        <v>657</v>
      </c>
      <c r="K51">
        <f t="shared" si="0"/>
        <v>0.30482954545454544</v>
      </c>
      <c r="L51">
        <f t="shared" si="1"/>
        <v>3.5795454545454547E-2</v>
      </c>
      <c r="M51">
        <f t="shared" si="2"/>
        <v>3.3664772727272731E-2</v>
      </c>
      <c r="N51">
        <f t="shared" si="3"/>
        <v>9.3323863636363635E-2</v>
      </c>
      <c r="O51" s="6">
        <f t="shared" si="11"/>
        <v>0.46761363636363634</v>
      </c>
      <c r="P51" s="19" t="s">
        <v>83</v>
      </c>
      <c r="R51" t="s">
        <v>376</v>
      </c>
    </row>
    <row r="52" spans="1:18">
      <c r="A52" s="19" t="s">
        <v>271</v>
      </c>
      <c r="B52" s="19" t="s">
        <v>89</v>
      </c>
      <c r="C52" s="5">
        <v>1</v>
      </c>
      <c r="D52" s="5">
        <v>10</v>
      </c>
      <c r="E52" s="5" t="s">
        <v>275</v>
      </c>
      <c r="F52" s="5">
        <v>70.400000000000006</v>
      </c>
      <c r="G52" s="21">
        <v>1683</v>
      </c>
      <c r="H52" s="21">
        <v>386</v>
      </c>
      <c r="I52" s="21">
        <v>230</v>
      </c>
      <c r="J52" s="21">
        <v>234</v>
      </c>
      <c r="K52">
        <f t="shared" si="0"/>
        <v>0.23906250000000001</v>
      </c>
      <c r="L52">
        <f t="shared" si="1"/>
        <v>5.4829545454545464E-2</v>
      </c>
      <c r="M52">
        <f t="shared" si="2"/>
        <v>3.2670454545454551E-2</v>
      </c>
      <c r="N52">
        <f t="shared" si="3"/>
        <v>3.3238636363636366E-2</v>
      </c>
      <c r="O52" s="6">
        <f t="shared" si="11"/>
        <v>0.35980113636363642</v>
      </c>
      <c r="P52" s="19" t="s">
        <v>89</v>
      </c>
      <c r="R52" t="s">
        <v>376</v>
      </c>
    </row>
    <row r="53" spans="1:18">
      <c r="A53" s="19"/>
      <c r="B53" s="19"/>
      <c r="C53" s="5"/>
      <c r="D53" s="5"/>
      <c r="E53" s="5"/>
      <c r="F53" s="5"/>
      <c r="G53" s="21"/>
      <c r="H53" s="21"/>
      <c r="I53" s="21"/>
      <c r="J53" s="21"/>
      <c r="K53" t="e">
        <f t="shared" si="0"/>
        <v>#DIV/0!</v>
      </c>
      <c r="L53" t="e">
        <f t="shared" si="1"/>
        <v>#DIV/0!</v>
      </c>
      <c r="M53" t="e">
        <f t="shared" si="2"/>
        <v>#DIV/0!</v>
      </c>
      <c r="N53" t="e">
        <f t="shared" si="3"/>
        <v>#DIV/0!</v>
      </c>
      <c r="O53" s="6"/>
      <c r="P53" s="19"/>
    </row>
    <row r="54" spans="1:18">
      <c r="A54" s="19"/>
      <c r="B54" s="19"/>
      <c r="C54" s="5"/>
      <c r="D54" s="5"/>
      <c r="E54" s="5"/>
      <c r="F54" s="5"/>
      <c r="G54" s="21"/>
      <c r="H54" s="21"/>
      <c r="I54" s="21"/>
      <c r="J54" s="21"/>
      <c r="K54" t="e">
        <f t="shared" si="0"/>
        <v>#DIV/0!</v>
      </c>
      <c r="L54" t="e">
        <f t="shared" si="1"/>
        <v>#DIV/0!</v>
      </c>
      <c r="M54" t="e">
        <f t="shared" si="2"/>
        <v>#DIV/0!</v>
      </c>
      <c r="N54" t="e">
        <f t="shared" si="3"/>
        <v>#DIV/0!</v>
      </c>
      <c r="O54" s="6"/>
      <c r="P54" s="19"/>
    </row>
    <row r="55" spans="1:18">
      <c r="A55" s="19"/>
      <c r="B55" s="19"/>
      <c r="C55" s="5"/>
      <c r="D55" s="5"/>
      <c r="E55" s="5"/>
      <c r="F55" s="5"/>
      <c r="G55" s="21"/>
      <c r="H55" s="21"/>
      <c r="I55" s="21"/>
      <c r="J55" s="21"/>
      <c r="K55" t="e">
        <f t="shared" si="0"/>
        <v>#DIV/0!</v>
      </c>
      <c r="L55" t="e">
        <f t="shared" si="1"/>
        <v>#DIV/0!</v>
      </c>
      <c r="M55" t="e">
        <f t="shared" si="2"/>
        <v>#DIV/0!</v>
      </c>
      <c r="N55" t="e">
        <f t="shared" si="3"/>
        <v>#DIV/0!</v>
      </c>
      <c r="O55" s="6"/>
      <c r="P55" s="19"/>
    </row>
    <row r="56" spans="1:18">
      <c r="A56" s="19" t="s">
        <v>272</v>
      </c>
      <c r="B56" s="19" t="s">
        <v>101</v>
      </c>
      <c r="C56" s="5">
        <v>1</v>
      </c>
      <c r="D56" s="5">
        <v>10</v>
      </c>
      <c r="E56" s="5" t="s">
        <v>275</v>
      </c>
      <c r="F56" s="5">
        <v>66.599999999999994</v>
      </c>
      <c r="G56" s="21">
        <v>4206</v>
      </c>
      <c r="H56" s="21">
        <v>786</v>
      </c>
      <c r="I56" s="21">
        <v>686</v>
      </c>
      <c r="J56" s="21">
        <v>655</v>
      </c>
      <c r="K56">
        <f t="shared" si="0"/>
        <v>0.63153153153153152</v>
      </c>
      <c r="L56">
        <f t="shared" si="1"/>
        <v>0.11801801801801801</v>
      </c>
      <c r="M56">
        <f t="shared" si="2"/>
        <v>0.10300300300300301</v>
      </c>
      <c r="N56">
        <f t="shared" si="3"/>
        <v>9.8348348348348338E-2</v>
      </c>
      <c r="O56" s="6">
        <f t="shared" si="11"/>
        <v>0.95090090090090096</v>
      </c>
      <c r="P56" s="19" t="s">
        <v>101</v>
      </c>
      <c r="R56" t="s">
        <v>376</v>
      </c>
    </row>
    <row r="57" spans="1:18">
      <c r="A57" s="19"/>
      <c r="B57" s="19"/>
      <c r="C57" s="5"/>
      <c r="D57" s="5"/>
      <c r="E57" s="5"/>
      <c r="F57" s="5"/>
      <c r="G57" s="21"/>
      <c r="H57" s="21"/>
      <c r="I57" s="21"/>
      <c r="J57" s="21"/>
      <c r="K57" t="e">
        <f t="shared" si="0"/>
        <v>#DIV/0!</v>
      </c>
      <c r="L57" t="e">
        <f t="shared" si="1"/>
        <v>#DIV/0!</v>
      </c>
      <c r="M57" t="e">
        <f t="shared" si="2"/>
        <v>#DIV/0!</v>
      </c>
      <c r="N57" t="e">
        <f t="shared" si="3"/>
        <v>#DIV/0!</v>
      </c>
      <c r="O57" s="6"/>
      <c r="P57" s="19"/>
    </row>
    <row r="58" spans="1:18">
      <c r="A58" s="19" t="s">
        <v>273</v>
      </c>
      <c r="B58" s="19" t="s">
        <v>113</v>
      </c>
      <c r="C58" s="5">
        <v>1</v>
      </c>
      <c r="D58" s="5">
        <v>10</v>
      </c>
      <c r="E58" s="5" t="s">
        <v>275</v>
      </c>
      <c r="F58" s="5">
        <v>66.599999999999994</v>
      </c>
      <c r="G58" s="21">
        <v>2945</v>
      </c>
      <c r="H58" s="21">
        <v>549</v>
      </c>
      <c r="I58" s="21">
        <v>512</v>
      </c>
      <c r="J58" s="21">
        <v>702</v>
      </c>
      <c r="K58">
        <f t="shared" si="0"/>
        <v>0.44219219219219214</v>
      </c>
      <c r="L58">
        <f t="shared" si="1"/>
        <v>8.2432432432432423E-2</v>
      </c>
      <c r="M58">
        <f t="shared" si="2"/>
        <v>7.6876876876876873E-2</v>
      </c>
      <c r="N58">
        <f t="shared" si="3"/>
        <v>0.1054054054054054</v>
      </c>
      <c r="O58" s="6">
        <f t="shared" si="11"/>
        <v>0.70690690690690683</v>
      </c>
      <c r="P58" s="19" t="s">
        <v>113</v>
      </c>
      <c r="R58" t="s">
        <v>376</v>
      </c>
    </row>
    <row r="59" spans="1:18">
      <c r="A59" s="19"/>
      <c r="B59" s="19"/>
      <c r="C59" s="5"/>
      <c r="D59" s="5"/>
      <c r="E59" s="5"/>
      <c r="F59" s="5"/>
      <c r="G59" s="21"/>
      <c r="H59" s="21"/>
      <c r="I59" s="21"/>
      <c r="J59" s="21"/>
      <c r="K59" t="e">
        <f t="shared" si="0"/>
        <v>#DIV/0!</v>
      </c>
      <c r="L59" t="e">
        <f t="shared" si="1"/>
        <v>#DIV/0!</v>
      </c>
      <c r="M59" t="e">
        <f t="shared" si="2"/>
        <v>#DIV/0!</v>
      </c>
      <c r="N59" t="e">
        <f t="shared" si="3"/>
        <v>#DIV/0!</v>
      </c>
      <c r="O59" s="6"/>
      <c r="P59" s="19"/>
    </row>
    <row r="60" spans="1:18">
      <c r="A60" s="19" t="s">
        <v>274</v>
      </c>
      <c r="B60" s="19" t="s">
        <v>125</v>
      </c>
      <c r="C60" s="5">
        <v>1</v>
      </c>
      <c r="D60" s="5">
        <v>10</v>
      </c>
      <c r="E60" s="5" t="s">
        <v>275</v>
      </c>
      <c r="F60" s="5">
        <v>66.599999999999994</v>
      </c>
      <c r="G60" s="21">
        <v>2019</v>
      </c>
      <c r="H60" s="21">
        <v>177</v>
      </c>
      <c r="I60" s="21">
        <v>325</v>
      </c>
      <c r="J60" s="21">
        <v>781</v>
      </c>
      <c r="K60">
        <f t="shared" si="0"/>
        <v>0.30315315315315317</v>
      </c>
      <c r="L60">
        <f t="shared" si="1"/>
        <v>2.6576576576576576E-2</v>
      </c>
      <c r="M60">
        <f t="shared" si="2"/>
        <v>4.8798798798798795E-2</v>
      </c>
      <c r="N60">
        <f t="shared" si="3"/>
        <v>0.11726726726726727</v>
      </c>
      <c r="O60" s="6">
        <f t="shared" si="11"/>
        <v>0.4957957957957958</v>
      </c>
      <c r="P60" s="19" t="s">
        <v>125</v>
      </c>
      <c r="R60" t="s">
        <v>376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M40"/>
  <sheetViews>
    <sheetView workbookViewId="0">
      <selection activeCell="AM34" sqref="AM5:AM34"/>
    </sheetView>
  </sheetViews>
  <sheetFormatPr defaultRowHeight="15"/>
  <sheetData>
    <row r="1" spans="1:39" ht="39.75">
      <c r="A1" s="4" t="s">
        <v>64</v>
      </c>
      <c r="B1" s="4" t="s">
        <v>65</v>
      </c>
      <c r="C1" s="4" t="s">
        <v>66</v>
      </c>
      <c r="D1" s="4" t="s">
        <v>67</v>
      </c>
      <c r="E1" s="4" t="s">
        <v>71</v>
      </c>
      <c r="F1" s="4" t="s">
        <v>72</v>
      </c>
      <c r="G1" s="4" t="s">
        <v>334</v>
      </c>
      <c r="H1" s="4" t="s">
        <v>335</v>
      </c>
      <c r="I1" s="4" t="s">
        <v>336</v>
      </c>
      <c r="J1" s="4" t="s">
        <v>337</v>
      </c>
      <c r="K1" s="4" t="s">
        <v>276</v>
      </c>
      <c r="L1" s="4" t="s">
        <v>277</v>
      </c>
      <c r="M1" s="4" t="s">
        <v>278</v>
      </c>
      <c r="N1" s="4" t="s">
        <v>279</v>
      </c>
      <c r="O1" s="4" t="s">
        <v>280</v>
      </c>
    </row>
    <row r="2" spans="1:39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</row>
    <row r="3" spans="1:39">
      <c r="C3" s="5"/>
      <c r="D3" s="5"/>
      <c r="E3" s="5" t="s">
        <v>275</v>
      </c>
      <c r="F3" s="5">
        <v>70.2</v>
      </c>
      <c r="G3" s="7"/>
      <c r="H3" s="7"/>
      <c r="I3" s="7"/>
      <c r="O3" s="6"/>
    </row>
    <row r="4" spans="1:39">
      <c r="A4" s="15" t="s">
        <v>306</v>
      </c>
      <c r="B4" s="15" t="s">
        <v>194</v>
      </c>
      <c r="C4" s="5">
        <v>1</v>
      </c>
      <c r="D4" s="5">
        <v>10</v>
      </c>
      <c r="E4" s="5" t="s">
        <v>275</v>
      </c>
      <c r="F4" s="5">
        <v>70.2</v>
      </c>
      <c r="G4" s="16">
        <v>7847</v>
      </c>
      <c r="H4" s="16">
        <v>3663</v>
      </c>
      <c r="I4" s="16">
        <v>594</v>
      </c>
      <c r="J4" s="16">
        <v>359</v>
      </c>
      <c r="K4">
        <f>(G4/((F4*D4)/1000))/10000</f>
        <v>1.1178062678062679</v>
      </c>
      <c r="L4">
        <f>(H4/((F4*D4)/1000))/10000</f>
        <v>0.52179487179487183</v>
      </c>
      <c r="M4">
        <f>(I4/((F4*D4)/1000))/10000</f>
        <v>8.461538461538462E-2</v>
      </c>
      <c r="N4">
        <f>(J4/((F4*D4)/1000))/10000</f>
        <v>5.1139601139601143E-2</v>
      </c>
      <c r="O4" s="6">
        <f>K4+L4+M4+N4</f>
        <v>1.7753561253561254</v>
      </c>
      <c r="P4" s="16" t="s">
        <v>194</v>
      </c>
      <c r="R4" t="s">
        <v>364</v>
      </c>
      <c r="AA4" t="s">
        <v>381</v>
      </c>
      <c r="AF4" t="s">
        <v>382</v>
      </c>
    </row>
    <row r="5" spans="1:39">
      <c r="A5" s="15" t="s">
        <v>307</v>
      </c>
      <c r="B5" s="15" t="s">
        <v>196</v>
      </c>
      <c r="C5" s="5">
        <v>1</v>
      </c>
      <c r="D5" s="5">
        <v>10</v>
      </c>
      <c r="E5" s="5" t="s">
        <v>275</v>
      </c>
      <c r="F5" s="5">
        <v>70.2</v>
      </c>
      <c r="G5" s="16">
        <v>6296</v>
      </c>
      <c r="H5" s="16">
        <v>3115</v>
      </c>
      <c r="I5" s="16">
        <v>523</v>
      </c>
      <c r="J5" s="16">
        <v>250</v>
      </c>
      <c r="K5">
        <f t="shared" ref="K5:K38" si="0">(G5/((F5*D5)/1000))/10000</f>
        <v>0.89686609686609697</v>
      </c>
      <c r="L5">
        <f t="shared" ref="L5:L38" si="1">(H5/((F5*D5)/1000))/10000</f>
        <v>0.44373219373219369</v>
      </c>
      <c r="M5">
        <f t="shared" ref="M5:M38" si="2">(I5/((F5*D5)/1000))/10000</f>
        <v>7.450142450142451E-2</v>
      </c>
      <c r="N5">
        <f t="shared" ref="N5:N38" si="3">(J5/((F5*D5)/1000))/10000</f>
        <v>3.5612535612535613E-2</v>
      </c>
      <c r="O5" s="6">
        <f>K5+L5+M5+N5</f>
        <v>1.450712250712251</v>
      </c>
      <c r="P5" s="16" t="s">
        <v>196</v>
      </c>
      <c r="R5" t="s">
        <v>364</v>
      </c>
      <c r="U5" t="s">
        <v>3</v>
      </c>
      <c r="V5" t="s">
        <v>4</v>
      </c>
      <c r="W5" t="s">
        <v>5</v>
      </c>
      <c r="X5" t="s">
        <v>6</v>
      </c>
      <c r="Y5" t="s">
        <v>7</v>
      </c>
      <c r="AA5" t="s">
        <v>377</v>
      </c>
      <c r="AB5" t="s">
        <v>378</v>
      </c>
      <c r="AC5" t="s">
        <v>379</v>
      </c>
      <c r="AD5" t="s">
        <v>380</v>
      </c>
      <c r="AF5" t="s">
        <v>377</v>
      </c>
      <c r="AG5" t="s">
        <v>378</v>
      </c>
      <c r="AH5" t="s">
        <v>379</v>
      </c>
      <c r="AI5" t="s">
        <v>380</v>
      </c>
      <c r="AK5" s="2" t="s">
        <v>424</v>
      </c>
      <c r="AL5" s="8">
        <f>U6</f>
        <v>1.7753561253561254</v>
      </c>
      <c r="AM5">
        <f t="shared" ref="AM5:AM33" si="4">AL5*10000</f>
        <v>17753.561253561253</v>
      </c>
    </row>
    <row r="6" spans="1:39">
      <c r="A6" s="15" t="s">
        <v>308</v>
      </c>
      <c r="B6" s="15" t="s">
        <v>198</v>
      </c>
      <c r="C6" s="5">
        <v>1</v>
      </c>
      <c r="D6" s="5">
        <v>10</v>
      </c>
      <c r="E6" s="5" t="s">
        <v>275</v>
      </c>
      <c r="F6" s="5">
        <v>70.2</v>
      </c>
      <c r="G6" s="16">
        <v>6832</v>
      </c>
      <c r="H6" s="16">
        <v>3266</v>
      </c>
      <c r="I6" s="16">
        <v>649</v>
      </c>
      <c r="J6" s="16">
        <v>295</v>
      </c>
      <c r="K6">
        <f t="shared" si="0"/>
        <v>0.97321937321937335</v>
      </c>
      <c r="L6">
        <f t="shared" si="1"/>
        <v>0.46524216524216527</v>
      </c>
      <c r="M6">
        <f t="shared" si="2"/>
        <v>9.2450142450142464E-2</v>
      </c>
      <c r="N6">
        <f t="shared" si="3"/>
        <v>4.2022792022792028E-2</v>
      </c>
      <c r="O6" s="6">
        <f>K6+L6+M6+N6</f>
        <v>1.5729344729344732</v>
      </c>
      <c r="P6" s="16" t="s">
        <v>198</v>
      </c>
      <c r="R6" t="s">
        <v>364</v>
      </c>
      <c r="S6">
        <f t="shared" ref="S6:S11" si="5">Y6*1000</f>
        <v>1122.0797720797721</v>
      </c>
      <c r="T6" t="s">
        <v>281</v>
      </c>
      <c r="U6" s="8">
        <f t="shared" ref="U6:U11" si="6">O4</f>
        <v>1.7753561253561254</v>
      </c>
      <c r="V6" s="8">
        <f>O10</f>
        <v>1.0250712250712251</v>
      </c>
      <c r="W6" s="8">
        <f>O19</f>
        <v>0.67407407407407405</v>
      </c>
      <c r="X6" s="8">
        <f t="shared" ref="X6:X11" si="7">O22</f>
        <v>1.0819088319088321</v>
      </c>
      <c r="Y6" s="8">
        <f t="shared" ref="Y6:Y11" si="8">O28</f>
        <v>1.1220797720797722</v>
      </c>
      <c r="AA6">
        <f t="shared" ref="AA6:AD11" si="9">K28-K4</f>
        <v>-0.45954415954415961</v>
      </c>
      <c r="AB6">
        <f t="shared" si="9"/>
        <v>-0.17977207977207976</v>
      </c>
      <c r="AC6">
        <f t="shared" si="9"/>
        <v>-6.8376068376068411E-3</v>
      </c>
      <c r="AD6">
        <f t="shared" si="9"/>
        <v>-7.1225071225071226E-3</v>
      </c>
      <c r="AE6" t="s">
        <v>383</v>
      </c>
      <c r="AF6">
        <f>-K4/K28</f>
        <v>-1.6981172906297339</v>
      </c>
      <c r="AG6">
        <f>-L4/L28</f>
        <v>-1.5256143273635985</v>
      </c>
      <c r="AH6">
        <f>-M4/M28</f>
        <v>-1.087912087912088</v>
      </c>
      <c r="AI6">
        <f>-N4/N28</f>
        <v>-1.1618122977346279</v>
      </c>
      <c r="AL6" s="8">
        <f t="shared" ref="AL6:AL10" si="10">U7</f>
        <v>1.450712250712251</v>
      </c>
      <c r="AM6">
        <f t="shared" si="4"/>
        <v>14507.122507122509</v>
      </c>
    </row>
    <row r="7" spans="1:39">
      <c r="A7" s="15" t="s">
        <v>309</v>
      </c>
      <c r="B7" s="15" t="s">
        <v>200</v>
      </c>
      <c r="C7" s="5">
        <v>1</v>
      </c>
      <c r="D7" s="5">
        <v>10</v>
      </c>
      <c r="E7" s="5" t="s">
        <v>275</v>
      </c>
      <c r="F7" s="5">
        <v>70.2</v>
      </c>
      <c r="G7" s="16">
        <v>7430</v>
      </c>
      <c r="H7" s="16">
        <v>3587</v>
      </c>
      <c r="I7" s="16">
        <v>661</v>
      </c>
      <c r="J7" s="16">
        <v>300</v>
      </c>
      <c r="K7">
        <f t="shared" si="0"/>
        <v>1.0584045584045585</v>
      </c>
      <c r="L7">
        <f t="shared" si="1"/>
        <v>0.510968660968661</v>
      </c>
      <c r="M7">
        <f t="shared" si="2"/>
        <v>9.4159544159544167E-2</v>
      </c>
      <c r="N7">
        <f t="shared" si="3"/>
        <v>4.2735042735042736E-2</v>
      </c>
      <c r="O7" s="6">
        <f t="shared" ref="O7:O36" si="11">K7+L7+M7+N7</f>
        <v>1.7062678062678065</v>
      </c>
      <c r="P7" s="16" t="s">
        <v>200</v>
      </c>
      <c r="R7" t="s">
        <v>364</v>
      </c>
      <c r="S7">
        <f t="shared" si="5"/>
        <v>1883.4757834757836</v>
      </c>
      <c r="T7" t="s">
        <v>282</v>
      </c>
      <c r="U7" s="8">
        <f t="shared" si="6"/>
        <v>1.450712250712251</v>
      </c>
      <c r="V7" s="8">
        <f>O11</f>
        <v>1.2605413105413106</v>
      </c>
      <c r="W7" s="8">
        <f>O16</f>
        <v>0.79871794871794877</v>
      </c>
      <c r="X7" s="8">
        <f t="shared" si="7"/>
        <v>1.2522792022792024</v>
      </c>
      <c r="Y7" s="8">
        <f t="shared" si="8"/>
        <v>1.8834757834757836</v>
      </c>
      <c r="AA7">
        <f t="shared" si="9"/>
        <v>0.19330484330484332</v>
      </c>
      <c r="AB7">
        <f t="shared" si="9"/>
        <v>0.12521367521367527</v>
      </c>
      <c r="AC7">
        <f t="shared" si="9"/>
        <v>7.364672364672363E-2</v>
      </c>
      <c r="AD7">
        <f t="shared" si="9"/>
        <v>4.05982905982906E-2</v>
      </c>
      <c r="AE7" t="s">
        <v>384</v>
      </c>
      <c r="AF7">
        <f>K29/K5</f>
        <v>1.2155336721728081</v>
      </c>
      <c r="AG7">
        <f>L29/L5</f>
        <v>1.2821829855537723</v>
      </c>
      <c r="AH7">
        <f>M29/M5</f>
        <v>1.9885277246653916</v>
      </c>
      <c r="AI7">
        <f>N29/N5</f>
        <v>2.14</v>
      </c>
      <c r="AL7" s="8">
        <f t="shared" si="10"/>
        <v>1.5729344729344732</v>
      </c>
      <c r="AM7">
        <f t="shared" si="4"/>
        <v>15729.344729344732</v>
      </c>
    </row>
    <row r="8" spans="1:39">
      <c r="A8" s="15" t="s">
        <v>310</v>
      </c>
      <c r="B8" s="15" t="s">
        <v>202</v>
      </c>
      <c r="C8" s="5">
        <v>1</v>
      </c>
      <c r="D8" s="5">
        <v>10</v>
      </c>
      <c r="E8" s="5" t="s">
        <v>275</v>
      </c>
      <c r="F8" s="5">
        <v>70.2</v>
      </c>
      <c r="G8" s="16">
        <v>5058</v>
      </c>
      <c r="H8" s="16">
        <v>2221</v>
      </c>
      <c r="I8" s="16">
        <v>475</v>
      </c>
      <c r="J8" s="16">
        <v>211</v>
      </c>
      <c r="K8">
        <f t="shared" si="0"/>
        <v>0.72051282051282062</v>
      </c>
      <c r="L8">
        <f t="shared" si="1"/>
        <v>0.3163817663817664</v>
      </c>
      <c r="M8">
        <f t="shared" si="2"/>
        <v>6.7663817663817669E-2</v>
      </c>
      <c r="N8">
        <f t="shared" si="3"/>
        <v>3.0056980056980057E-2</v>
      </c>
      <c r="O8" s="6">
        <f t="shared" si="11"/>
        <v>1.1346153846153846</v>
      </c>
      <c r="P8" s="16" t="s">
        <v>202</v>
      </c>
      <c r="R8" t="s">
        <v>364</v>
      </c>
      <c r="S8">
        <f t="shared" si="5"/>
        <v>519.51566951566952</v>
      </c>
      <c r="T8" t="s">
        <v>283</v>
      </c>
      <c r="U8" s="8">
        <f t="shared" si="6"/>
        <v>1.5729344729344732</v>
      </c>
      <c r="V8" s="8">
        <f>O15</f>
        <v>0.90256410256410258</v>
      </c>
      <c r="W8" s="8">
        <f>O17</f>
        <v>0.94786324786324794</v>
      </c>
      <c r="X8" s="8">
        <f t="shared" si="7"/>
        <v>1.8756410256410256</v>
      </c>
      <c r="Y8" s="8">
        <f t="shared" si="8"/>
        <v>0.51951566951566952</v>
      </c>
      <c r="AA8">
        <f t="shared" si="9"/>
        <v>-0.64088319088319101</v>
      </c>
      <c r="AB8">
        <f t="shared" si="9"/>
        <v>-0.32877492877492881</v>
      </c>
      <c r="AC8">
        <f t="shared" si="9"/>
        <v>-5.9116809116809124E-2</v>
      </c>
      <c r="AD8">
        <f t="shared" si="9"/>
        <v>-2.4643874643874651E-2</v>
      </c>
      <c r="AE8" t="s">
        <v>385</v>
      </c>
      <c r="AF8">
        <f>-K6/K30</f>
        <v>-2.9284183454779256</v>
      </c>
      <c r="AG8">
        <f>-L6/L30</f>
        <v>-3.4091858037578291</v>
      </c>
      <c r="AH8">
        <f>-M6/M30</f>
        <v>-2.7735042735042734</v>
      </c>
      <c r="AI8">
        <f>-N6/N30</f>
        <v>-2.4180327868852465</v>
      </c>
      <c r="AL8" s="8">
        <f t="shared" si="10"/>
        <v>1.7062678062678065</v>
      </c>
      <c r="AM8">
        <f t="shared" si="4"/>
        <v>17062.678062678064</v>
      </c>
    </row>
    <row r="9" spans="1:39">
      <c r="A9" s="15" t="s">
        <v>311</v>
      </c>
      <c r="B9" s="15" t="s">
        <v>204</v>
      </c>
      <c r="C9" s="5">
        <v>1</v>
      </c>
      <c r="D9" s="5">
        <v>10</v>
      </c>
      <c r="E9" s="5" t="s">
        <v>275</v>
      </c>
      <c r="F9" s="5">
        <v>70.2</v>
      </c>
      <c r="G9" s="16">
        <v>6565</v>
      </c>
      <c r="H9" s="16">
        <v>2912</v>
      </c>
      <c r="I9" s="16">
        <v>572</v>
      </c>
      <c r="J9" s="16">
        <v>302</v>
      </c>
      <c r="K9">
        <f t="shared" si="0"/>
        <v>0.93518518518518523</v>
      </c>
      <c r="L9">
        <f t="shared" si="1"/>
        <v>0.41481481481481486</v>
      </c>
      <c r="M9">
        <f t="shared" si="2"/>
        <v>8.1481481481481488E-2</v>
      </c>
      <c r="N9">
        <f t="shared" si="3"/>
        <v>4.3019943019943024E-2</v>
      </c>
      <c r="O9" s="6">
        <f t="shared" si="11"/>
        <v>1.4745014245014245</v>
      </c>
      <c r="P9" s="16" t="s">
        <v>204</v>
      </c>
      <c r="R9" t="s">
        <v>364</v>
      </c>
      <c r="S9">
        <f t="shared" si="5"/>
        <v>1140.3133903133903</v>
      </c>
      <c r="T9" t="s">
        <v>286</v>
      </c>
      <c r="U9" s="8">
        <f t="shared" si="6"/>
        <v>1.7062678062678065</v>
      </c>
      <c r="V9" s="8">
        <f>O13</f>
        <v>0.55413105413105423</v>
      </c>
      <c r="W9" s="8">
        <f>O20</f>
        <v>0.96011396011396011</v>
      </c>
      <c r="X9" s="8">
        <f t="shared" si="7"/>
        <v>0.85384615384615392</v>
      </c>
      <c r="Y9" s="8">
        <f t="shared" si="8"/>
        <v>1.1403133903133904</v>
      </c>
      <c r="AA9">
        <f t="shared" si="9"/>
        <v>-0.36267806267806268</v>
      </c>
      <c r="AB9">
        <f t="shared" si="9"/>
        <v>-0.21011396011396011</v>
      </c>
      <c r="AC9">
        <f t="shared" si="9"/>
        <v>-1.2108262108262116E-2</v>
      </c>
      <c r="AD9">
        <f t="shared" si="9"/>
        <v>1.894586894586895E-2</v>
      </c>
      <c r="AE9" t="s">
        <v>386</v>
      </c>
      <c r="AF9">
        <f>-K7/K31</f>
        <v>-1.5212940212940211</v>
      </c>
      <c r="AG9">
        <f>-L7/L31</f>
        <v>-1.6983901515151514</v>
      </c>
      <c r="AH9">
        <f>-M7/M31</f>
        <v>-1.1475694444444446</v>
      </c>
      <c r="AI9">
        <f>N31/N7</f>
        <v>1.4433333333333334</v>
      </c>
      <c r="AL9" s="8">
        <f t="shared" si="10"/>
        <v>1.1346153846153846</v>
      </c>
      <c r="AM9">
        <f t="shared" si="4"/>
        <v>11346.153846153846</v>
      </c>
    </row>
    <row r="10" spans="1:39">
      <c r="A10" s="15" t="s">
        <v>312</v>
      </c>
      <c r="B10" s="15" t="s">
        <v>206</v>
      </c>
      <c r="C10" s="5">
        <v>1</v>
      </c>
      <c r="D10" s="5">
        <v>10</v>
      </c>
      <c r="E10" s="5" t="s">
        <v>275</v>
      </c>
      <c r="F10" s="5">
        <v>70.2</v>
      </c>
      <c r="G10" s="16">
        <v>4498</v>
      </c>
      <c r="H10" s="16">
        <v>2191</v>
      </c>
      <c r="I10" s="16">
        <v>363</v>
      </c>
      <c r="J10" s="16">
        <v>144</v>
      </c>
      <c r="K10">
        <f t="shared" si="0"/>
        <v>0.64074074074074083</v>
      </c>
      <c r="L10">
        <f t="shared" si="1"/>
        <v>0.31210826210826215</v>
      </c>
      <c r="M10">
        <f t="shared" si="2"/>
        <v>5.1709401709401706E-2</v>
      </c>
      <c r="N10">
        <f t="shared" si="3"/>
        <v>2.0512820512820513E-2</v>
      </c>
      <c r="O10" s="6">
        <f t="shared" si="11"/>
        <v>1.0250712250712251</v>
      </c>
      <c r="P10" s="16" t="s">
        <v>206</v>
      </c>
      <c r="R10" t="s">
        <v>364</v>
      </c>
      <c r="S10">
        <f t="shared" si="5"/>
        <v>1562.962962962963</v>
      </c>
      <c r="T10" t="s">
        <v>284</v>
      </c>
      <c r="U10" s="8">
        <f t="shared" si="6"/>
        <v>1.1346153846153846</v>
      </c>
      <c r="V10" s="8">
        <f>O12</f>
        <v>0.58960113960113958</v>
      </c>
      <c r="W10" s="8">
        <f>O21</f>
        <v>1.6699430199430203</v>
      </c>
      <c r="X10" s="8">
        <f t="shared" si="7"/>
        <v>0.86623931623931638</v>
      </c>
      <c r="Y10" s="8">
        <f t="shared" si="8"/>
        <v>1.5629629629629631</v>
      </c>
      <c r="AA10">
        <f t="shared" si="9"/>
        <v>0.20042735042735049</v>
      </c>
      <c r="AB10">
        <f t="shared" si="9"/>
        <v>0.10783475783475782</v>
      </c>
      <c r="AC10">
        <f t="shared" si="9"/>
        <v>6.0398860398860402E-2</v>
      </c>
      <c r="AD10">
        <f t="shared" si="9"/>
        <v>5.9686609686609687E-2</v>
      </c>
      <c r="AE10" t="s">
        <v>387</v>
      </c>
      <c r="AF10">
        <f>K32/K8</f>
        <v>1.278173190984579</v>
      </c>
      <c r="AG10">
        <f>L32/L8</f>
        <v>1.3408374606033318</v>
      </c>
      <c r="AH10">
        <f>M32/M8</f>
        <v>1.8926315789473684</v>
      </c>
      <c r="AI10">
        <f>N32/N8</f>
        <v>2.985781990521327</v>
      </c>
      <c r="AL10" s="8">
        <f t="shared" si="10"/>
        <v>1.4745014245014245</v>
      </c>
      <c r="AM10">
        <f t="shared" si="4"/>
        <v>14745.014245014245</v>
      </c>
    </row>
    <row r="11" spans="1:39">
      <c r="A11" s="15" t="s">
        <v>313</v>
      </c>
      <c r="B11" s="15" t="s">
        <v>208</v>
      </c>
      <c r="C11" s="5">
        <v>1</v>
      </c>
      <c r="D11" s="5">
        <v>10</v>
      </c>
      <c r="E11" s="5" t="s">
        <v>275</v>
      </c>
      <c r="F11" s="5">
        <v>70.2</v>
      </c>
      <c r="G11" s="16">
        <v>5684</v>
      </c>
      <c r="H11" s="16">
        <v>2534</v>
      </c>
      <c r="I11" s="16">
        <v>402</v>
      </c>
      <c r="J11" s="16">
        <v>229</v>
      </c>
      <c r="K11">
        <f t="shared" si="0"/>
        <v>0.80968660968660966</v>
      </c>
      <c r="L11">
        <f t="shared" si="1"/>
        <v>0.36096866096866098</v>
      </c>
      <c r="M11">
        <f t="shared" si="2"/>
        <v>5.7264957264957263E-2</v>
      </c>
      <c r="N11">
        <f t="shared" si="3"/>
        <v>3.2621082621082619E-2</v>
      </c>
      <c r="O11" s="6">
        <f t="shared" si="11"/>
        <v>1.2605413105413106</v>
      </c>
      <c r="P11" s="16" t="s">
        <v>208</v>
      </c>
      <c r="R11" t="s">
        <v>364</v>
      </c>
      <c r="S11">
        <f t="shared" si="5"/>
        <v>947.86324786324781</v>
      </c>
      <c r="T11" t="s">
        <v>285</v>
      </c>
      <c r="U11" s="8">
        <f t="shared" si="6"/>
        <v>1.4745014245014245</v>
      </c>
      <c r="V11" s="8">
        <f>O14</f>
        <v>0.50612535612535614</v>
      </c>
      <c r="W11" s="8">
        <f>O18</f>
        <v>0.81125356125356118</v>
      </c>
      <c r="X11" s="8">
        <f t="shared" si="7"/>
        <v>1.1366096866096869</v>
      </c>
      <c r="Y11" s="8">
        <f t="shared" si="8"/>
        <v>0.94786324786324783</v>
      </c>
      <c r="AA11">
        <f t="shared" si="9"/>
        <v>-0.35911680911680921</v>
      </c>
      <c r="AB11">
        <f t="shared" si="9"/>
        <v>-0.17250712250712252</v>
      </c>
      <c r="AC11">
        <f t="shared" si="9"/>
        <v>-8.4045584045584071E-3</v>
      </c>
      <c r="AD11">
        <f t="shared" si="9"/>
        <v>1.3390313390313387E-2</v>
      </c>
      <c r="AE11" t="s">
        <v>388</v>
      </c>
      <c r="AF11">
        <f>-K9/K33</f>
        <v>-1.6233926805143424</v>
      </c>
      <c r="AG11">
        <f>-L9/L33</f>
        <v>-1.7119341563786008</v>
      </c>
      <c r="AH11">
        <f>-M9/M33</f>
        <v>-1.1150097465886939</v>
      </c>
      <c r="AI11">
        <f>N33/N9</f>
        <v>1.3112582781456952</v>
      </c>
      <c r="AL11" s="8">
        <f>V6</f>
        <v>1.0250712250712251</v>
      </c>
      <c r="AM11">
        <f t="shared" si="4"/>
        <v>10250.712250712251</v>
      </c>
    </row>
    <row r="12" spans="1:39">
      <c r="A12" s="15" t="s">
        <v>314</v>
      </c>
      <c r="B12" s="15" t="s">
        <v>214</v>
      </c>
      <c r="C12" s="5">
        <v>1</v>
      </c>
      <c r="D12" s="5">
        <v>10</v>
      </c>
      <c r="E12" s="5" t="s">
        <v>275</v>
      </c>
      <c r="F12" s="5">
        <v>70.2</v>
      </c>
      <c r="G12" s="16">
        <v>2636</v>
      </c>
      <c r="H12" s="16">
        <v>1217</v>
      </c>
      <c r="I12" s="16">
        <v>203</v>
      </c>
      <c r="J12" s="16">
        <v>83</v>
      </c>
      <c r="K12">
        <f t="shared" si="0"/>
        <v>0.37549857549857552</v>
      </c>
      <c r="L12">
        <f t="shared" si="1"/>
        <v>0.17336182336182338</v>
      </c>
      <c r="M12">
        <f t="shared" si="2"/>
        <v>2.891737891737892E-2</v>
      </c>
      <c r="N12">
        <f t="shared" si="3"/>
        <v>1.1823361823361824E-2</v>
      </c>
      <c r="O12" s="6">
        <f t="shared" si="11"/>
        <v>0.58960113960113958</v>
      </c>
      <c r="P12" s="16" t="s">
        <v>214</v>
      </c>
      <c r="R12" t="s">
        <v>364</v>
      </c>
      <c r="AL12" s="8">
        <f t="shared" ref="AL12:AL16" si="12">V7</f>
        <v>1.2605413105413106</v>
      </c>
      <c r="AM12">
        <f t="shared" si="4"/>
        <v>12605.413105413107</v>
      </c>
    </row>
    <row r="13" spans="1:39">
      <c r="A13" s="15" t="s">
        <v>315</v>
      </c>
      <c r="B13" s="15" t="s">
        <v>212</v>
      </c>
      <c r="C13" s="5">
        <v>1</v>
      </c>
      <c r="D13" s="5">
        <v>10</v>
      </c>
      <c r="E13" s="5" t="s">
        <v>275</v>
      </c>
      <c r="F13" s="5">
        <v>70.2</v>
      </c>
      <c r="G13" s="16">
        <v>2613</v>
      </c>
      <c r="H13" s="16">
        <v>1079</v>
      </c>
      <c r="I13" s="16">
        <v>141</v>
      </c>
      <c r="J13" s="16">
        <v>57</v>
      </c>
      <c r="K13">
        <f t="shared" si="0"/>
        <v>0.37222222222222229</v>
      </c>
      <c r="L13">
        <f t="shared" si="1"/>
        <v>0.15370370370370373</v>
      </c>
      <c r="M13">
        <f t="shared" si="2"/>
        <v>2.0085470085470087E-2</v>
      </c>
      <c r="N13">
        <f t="shared" si="3"/>
        <v>8.1196581196581203E-3</v>
      </c>
      <c r="O13" s="6">
        <f t="shared" si="11"/>
        <v>0.55413105413105423</v>
      </c>
      <c r="P13" s="16" t="s">
        <v>212</v>
      </c>
      <c r="R13" t="s">
        <v>364</v>
      </c>
      <c r="U13">
        <v>0</v>
      </c>
      <c r="V13">
        <v>3.5</v>
      </c>
      <c r="W13">
        <v>13.5</v>
      </c>
      <c r="X13">
        <v>19.75</v>
      </c>
      <c r="Y13">
        <v>27</v>
      </c>
      <c r="AA13" t="str">
        <f>AA5</f>
        <v>R1</v>
      </c>
      <c r="AB13" t="str">
        <f>AB5</f>
        <v>R2</v>
      </c>
      <c r="AC13" t="str">
        <f>AC5</f>
        <v>R3</v>
      </c>
      <c r="AD13" t="str">
        <f>AD5</f>
        <v>R4</v>
      </c>
      <c r="AF13" t="str">
        <f>AF5</f>
        <v>R1</v>
      </c>
      <c r="AG13" t="str">
        <f>AG5</f>
        <v>R2</v>
      </c>
      <c r="AH13" t="str">
        <f>AH5</f>
        <v>R3</v>
      </c>
      <c r="AI13" t="str">
        <f>AI5</f>
        <v>R4</v>
      </c>
      <c r="AL13" s="8">
        <f t="shared" si="12"/>
        <v>0.90256410256410258</v>
      </c>
      <c r="AM13">
        <f t="shared" si="4"/>
        <v>9025.6410256410254</v>
      </c>
    </row>
    <row r="14" spans="1:39">
      <c r="A14" s="15" t="s">
        <v>316</v>
      </c>
      <c r="B14" s="15" t="s">
        <v>215</v>
      </c>
      <c r="C14" s="5">
        <v>1</v>
      </c>
      <c r="D14" s="5">
        <v>10</v>
      </c>
      <c r="E14" s="5" t="s">
        <v>275</v>
      </c>
      <c r="F14" s="5">
        <v>70.2</v>
      </c>
      <c r="G14" s="16">
        <v>2341</v>
      </c>
      <c r="H14" s="16">
        <v>1006</v>
      </c>
      <c r="I14" s="16">
        <v>132</v>
      </c>
      <c r="J14" s="16">
        <v>74</v>
      </c>
      <c r="K14">
        <f t="shared" si="0"/>
        <v>0.33347578347578349</v>
      </c>
      <c r="L14">
        <f t="shared" si="1"/>
        <v>0.1433048433048433</v>
      </c>
      <c r="M14">
        <f t="shared" si="2"/>
        <v>1.8803418803418806E-2</v>
      </c>
      <c r="N14">
        <f t="shared" si="3"/>
        <v>1.0541310541310541E-2</v>
      </c>
      <c r="O14" s="6">
        <f t="shared" si="11"/>
        <v>0.50612535612535614</v>
      </c>
      <c r="P14" s="16" t="s">
        <v>215</v>
      </c>
      <c r="R14" t="s">
        <v>364</v>
      </c>
      <c r="T14" t="s">
        <v>421</v>
      </c>
      <c r="U14" s="8">
        <f>AVERAGE(U6:U8)</f>
        <v>1.5996676163342831</v>
      </c>
      <c r="V14" s="8">
        <f>AVERAGE(V6:V8)</f>
        <v>1.0627255460588794</v>
      </c>
      <c r="W14" s="8">
        <f>AVERAGE(W6:W8)</f>
        <v>0.80688509021842358</v>
      </c>
      <c r="X14" s="8">
        <f>AVERAGE(X6:X8)</f>
        <v>1.4032763532763532</v>
      </c>
      <c r="Y14" s="8">
        <f>AVERAGE(Y6:Y8)</f>
        <v>1.1750237416904084</v>
      </c>
      <c r="Z14" s="8" t="str">
        <f>T14</f>
        <v>SW+L</v>
      </c>
      <c r="AA14" s="8">
        <f>AVERAGE(AA6:AA8)</f>
        <v>-0.30237416904083575</v>
      </c>
      <c r="AB14" s="8">
        <f>AVERAGE(AB6:AB8)</f>
        <v>-0.12777777777777777</v>
      </c>
      <c r="AC14" s="8">
        <f>AVERAGE(AC6:AC8)</f>
        <v>2.564102564102555E-3</v>
      </c>
      <c r="AD14" s="8">
        <f>AVERAGE(AD6:AD8)</f>
        <v>2.9439696106362753E-3</v>
      </c>
      <c r="AE14" s="8"/>
      <c r="AF14" s="8">
        <f>AVERAGE(AF6:AF8)</f>
        <v>-1.1370006546449505</v>
      </c>
      <c r="AG14" s="8">
        <f>AVERAGE(AG6:AG8)</f>
        <v>-1.2175390485225517</v>
      </c>
      <c r="AH14" s="8">
        <f>AVERAGE(AH6:AH8)</f>
        <v>-0.62429621225032328</v>
      </c>
      <c r="AI14" s="8">
        <f>AVERAGE(AI6:AI8)</f>
        <v>-0.47994836153995807</v>
      </c>
      <c r="AL14" s="8">
        <f t="shared" si="12"/>
        <v>0.55413105413105423</v>
      </c>
      <c r="AM14">
        <f t="shared" si="4"/>
        <v>5541.3105413105422</v>
      </c>
    </row>
    <row r="15" spans="1:39">
      <c r="A15" s="15" t="s">
        <v>317</v>
      </c>
      <c r="B15" s="15" t="s">
        <v>210</v>
      </c>
      <c r="C15" s="5">
        <v>1</v>
      </c>
      <c r="D15" s="5">
        <v>10</v>
      </c>
      <c r="E15" s="5" t="s">
        <v>275</v>
      </c>
      <c r="F15" s="5">
        <v>70.2</v>
      </c>
      <c r="G15" s="16">
        <v>4065</v>
      </c>
      <c r="H15" s="16">
        <v>1831</v>
      </c>
      <c r="I15" s="16">
        <v>289</v>
      </c>
      <c r="J15" s="16">
        <v>151</v>
      </c>
      <c r="K15">
        <f t="shared" si="0"/>
        <v>0.57905982905982911</v>
      </c>
      <c r="L15">
        <f t="shared" si="1"/>
        <v>0.26082621082621088</v>
      </c>
      <c r="M15">
        <f t="shared" si="2"/>
        <v>4.116809116809117E-2</v>
      </c>
      <c r="N15">
        <f t="shared" si="3"/>
        <v>2.1509971509971512E-2</v>
      </c>
      <c r="O15" s="6">
        <f t="shared" si="11"/>
        <v>0.90256410256410258</v>
      </c>
      <c r="P15" s="16" t="s">
        <v>210</v>
      </c>
      <c r="R15" t="s">
        <v>364</v>
      </c>
      <c r="T15" t="s">
        <v>14</v>
      </c>
      <c r="U15" s="8">
        <f>AVERAGE(U9:U11)</f>
        <v>1.4384615384615385</v>
      </c>
      <c r="V15" s="8">
        <f>AVERAGE(V9:V11)</f>
        <v>0.54995251661918332</v>
      </c>
      <c r="W15" s="8">
        <f>AVERAGE(W9:W11)</f>
        <v>1.1471035137701804</v>
      </c>
      <c r="X15" s="8">
        <f>AVERAGE(X9:X11)</f>
        <v>0.95223171889838565</v>
      </c>
      <c r="Y15" s="8">
        <f>AVERAGE(Y9:Y11)</f>
        <v>1.2170465337132006</v>
      </c>
      <c r="Z15" s="8" t="str">
        <f>T15</f>
        <v>SW</v>
      </c>
      <c r="AA15" s="8">
        <f>AVERAGE(AA9:AA11)</f>
        <v>-0.1737891737891738</v>
      </c>
      <c r="AB15" s="8">
        <f>AVERAGE(AB9:AB11)</f>
        <v>-9.1595441595441598E-2</v>
      </c>
      <c r="AC15" s="8">
        <f>AVERAGE(AC9:AC11)</f>
        <v>1.329534662867996E-2</v>
      </c>
      <c r="AD15" s="8">
        <f>AVERAGE(AD9:AD11)</f>
        <v>3.0674264007597336E-2</v>
      </c>
      <c r="AE15" s="8"/>
      <c r="AF15" s="8">
        <f>AVERAGE(AF9:AF11)</f>
        <v>-0.62217117027459479</v>
      </c>
      <c r="AG15" s="8">
        <f>AVERAGE(AG9:AG11)</f>
        <v>-0.68982894909680681</v>
      </c>
      <c r="AH15" s="8">
        <f>AVERAGE(AH9:AH11)</f>
        <v>-0.12331587069525669</v>
      </c>
      <c r="AI15" s="8">
        <f>AVERAGE(AI9:AI11)</f>
        <v>1.9134578673334517</v>
      </c>
      <c r="AL15" s="8">
        <f t="shared" si="12"/>
        <v>0.58960113960113958</v>
      </c>
      <c r="AM15">
        <f t="shared" si="4"/>
        <v>5896.0113960113958</v>
      </c>
    </row>
    <row r="16" spans="1:39">
      <c r="A16" s="15" t="s">
        <v>318</v>
      </c>
      <c r="B16" s="15" t="s">
        <v>217</v>
      </c>
      <c r="C16" s="5">
        <v>1</v>
      </c>
      <c r="D16" s="5">
        <v>10</v>
      </c>
      <c r="E16" s="5" t="s">
        <v>275</v>
      </c>
      <c r="F16" s="5">
        <v>70.2</v>
      </c>
      <c r="G16" s="16">
        <v>3556</v>
      </c>
      <c r="H16" s="16">
        <v>1624</v>
      </c>
      <c r="I16" s="16">
        <v>280</v>
      </c>
      <c r="J16" s="16">
        <v>147</v>
      </c>
      <c r="K16">
        <f t="shared" si="0"/>
        <v>0.50655270655270657</v>
      </c>
      <c r="L16">
        <f t="shared" si="1"/>
        <v>0.23133903133903136</v>
      </c>
      <c r="M16">
        <f t="shared" si="2"/>
        <v>3.9886039886039892E-2</v>
      </c>
      <c r="N16">
        <f t="shared" si="3"/>
        <v>2.0940170940170942E-2</v>
      </c>
      <c r="O16" s="6">
        <f t="shared" si="11"/>
        <v>0.79871794871794877</v>
      </c>
      <c r="P16" s="16" t="s">
        <v>217</v>
      </c>
      <c r="R16" t="s">
        <v>364</v>
      </c>
      <c r="AL16" s="8">
        <f t="shared" si="12"/>
        <v>0.50612535612535614</v>
      </c>
      <c r="AM16">
        <f t="shared" si="4"/>
        <v>5061.2535612535612</v>
      </c>
    </row>
    <row r="17" spans="1:39">
      <c r="A17" s="15" t="s">
        <v>319</v>
      </c>
      <c r="B17" s="15" t="s">
        <v>218</v>
      </c>
      <c r="C17" s="5">
        <v>1</v>
      </c>
      <c r="D17" s="5">
        <v>10</v>
      </c>
      <c r="E17" s="5" t="s">
        <v>275</v>
      </c>
      <c r="F17" s="5">
        <v>70.2</v>
      </c>
      <c r="G17" s="16">
        <v>4329</v>
      </c>
      <c r="H17" s="16">
        <v>1821</v>
      </c>
      <c r="I17" s="16">
        <v>320</v>
      </c>
      <c r="J17" s="16">
        <v>184</v>
      </c>
      <c r="K17">
        <f t="shared" si="0"/>
        <v>0.6166666666666667</v>
      </c>
      <c r="L17">
        <f t="shared" si="1"/>
        <v>0.25940170940170942</v>
      </c>
      <c r="M17">
        <f t="shared" si="2"/>
        <v>4.5584045584045586E-2</v>
      </c>
      <c r="N17">
        <f t="shared" si="3"/>
        <v>2.6210826210826214E-2</v>
      </c>
      <c r="O17" s="6">
        <f t="shared" si="11"/>
        <v>0.94786324786324794</v>
      </c>
      <c r="P17" s="16" t="s">
        <v>218</v>
      </c>
      <c r="R17" t="s">
        <v>364</v>
      </c>
      <c r="U17">
        <f>STDEV(U6:U8)/(SQRT(3))</f>
        <v>9.4665035877337919E-2</v>
      </c>
      <c r="V17">
        <f>STDEV(V6:V8)/(SQRT(3))</f>
        <v>0.10504016100928616</v>
      </c>
      <c r="W17">
        <f>STDEV(W6:W8)/(SQRT(3))</f>
        <v>7.914154949889117E-2</v>
      </c>
      <c r="X17">
        <f>STDEV(X6:X8)/(SQRT(3))</f>
        <v>0.24124869847571037</v>
      </c>
      <c r="Y17">
        <f>STDEV(Y6:Y8)/(SQRT(3))</f>
        <v>0.39463024721762058</v>
      </c>
      <c r="AA17">
        <f>STDEV(AA6:AA8)</f>
        <v>0.43874163642368785</v>
      </c>
      <c r="AB17">
        <f>STDEV(AB6:AB8)</f>
        <v>0.23141730427473739</v>
      </c>
      <c r="AC17">
        <f>STDEV(AC6:AC8)</f>
        <v>6.6879242016630633E-2</v>
      </c>
      <c r="AD17">
        <f>STDEV(AD6:AD8)</f>
        <v>3.3765892506132378E-2</v>
      </c>
      <c r="AF17">
        <f>STDEV(AF6:AF8)</f>
        <v>2.1281972395743907</v>
      </c>
      <c r="AG17">
        <f>STDEV(AG6:AG8)</f>
        <v>2.3608087729433933</v>
      </c>
      <c r="AH17">
        <f>STDEV(AH6:AH8)</f>
        <v>2.4146308098800864</v>
      </c>
      <c r="AI17">
        <f>STDEV(AI6:AI8)</f>
        <v>2.354276861839403</v>
      </c>
      <c r="AL17" s="8">
        <f>W6</f>
        <v>0.67407407407407405</v>
      </c>
      <c r="AM17">
        <f t="shared" si="4"/>
        <v>6740.7407407407409</v>
      </c>
    </row>
    <row r="18" spans="1:39">
      <c r="A18" s="15" t="s">
        <v>320</v>
      </c>
      <c r="B18" s="15" t="s">
        <v>222</v>
      </c>
      <c r="C18" s="5">
        <v>1</v>
      </c>
      <c r="D18" s="5">
        <v>10</v>
      </c>
      <c r="E18" s="5" t="s">
        <v>275</v>
      </c>
      <c r="F18" s="5">
        <v>70.2</v>
      </c>
      <c r="G18" s="16">
        <v>3871</v>
      </c>
      <c r="H18" s="16">
        <v>1413</v>
      </c>
      <c r="I18" s="16">
        <v>252</v>
      </c>
      <c r="J18" s="16">
        <v>159</v>
      </c>
      <c r="K18">
        <f t="shared" si="0"/>
        <v>0.55142450142450139</v>
      </c>
      <c r="L18">
        <f t="shared" si="1"/>
        <v>0.20128205128205129</v>
      </c>
      <c r="M18">
        <f t="shared" si="2"/>
        <v>3.5897435897435902E-2</v>
      </c>
      <c r="N18">
        <f t="shared" si="3"/>
        <v>2.2649572649572649E-2</v>
      </c>
      <c r="O18" s="6">
        <f t="shared" si="11"/>
        <v>0.81125356125356118</v>
      </c>
      <c r="P18" s="16" t="s">
        <v>222</v>
      </c>
      <c r="R18" t="s">
        <v>364</v>
      </c>
      <c r="U18">
        <f>STDEV(U9:U11)/(SQRT(3))</f>
        <v>0.16600278896713003</v>
      </c>
      <c r="V18">
        <f>STDEV(V9:V11)/(SQRT(3))</f>
        <v>2.4187784372333862E-2</v>
      </c>
      <c r="W18">
        <f>STDEV(W9:W11)/(SQRT(3))</f>
        <v>0.26492811383374282</v>
      </c>
      <c r="X18">
        <f>STDEV(X9:X11)/(SQRT(3))</f>
        <v>9.2258376045282101E-2</v>
      </c>
      <c r="Y18">
        <f>STDEV(Y9:Y11)/(SQRT(3))</f>
        <v>0.1816616785409525</v>
      </c>
      <c r="AA18">
        <f>STDEV(AA9:AA11)</f>
        <v>0.3240859081775298</v>
      </c>
      <c r="AB18">
        <f>STDEV(AB9:AB11)</f>
        <v>0.1737321843881369</v>
      </c>
      <c r="AC18">
        <f>STDEV(AC9:AC11)</f>
        <v>4.0834851688286947E-2</v>
      </c>
      <c r="AD18">
        <f>STDEV(AD9:AD11)</f>
        <v>2.5278512628942314E-2</v>
      </c>
      <c r="AF18">
        <f>STDEV(AF9:AF11)</f>
        <v>1.6465380507540055</v>
      </c>
      <c r="AG18">
        <f>STDEV(AG9:AG11)</f>
        <v>1.7586217360849017</v>
      </c>
      <c r="AH18">
        <f>STDEV(AH9:AH11)</f>
        <v>1.7459376057785021</v>
      </c>
      <c r="AI18">
        <f>STDEV(AI9:AI11)</f>
        <v>0.93100495376162629</v>
      </c>
      <c r="AL18" s="8">
        <f t="shared" ref="AL18:AL22" si="13">W7</f>
        <v>0.79871794871794877</v>
      </c>
      <c r="AM18">
        <f t="shared" si="4"/>
        <v>7987.1794871794873</v>
      </c>
    </row>
    <row r="19" spans="1:39">
      <c r="A19" s="15" t="s">
        <v>321</v>
      </c>
      <c r="B19" s="15" t="s">
        <v>216</v>
      </c>
      <c r="C19" s="5">
        <v>1</v>
      </c>
      <c r="D19" s="5">
        <v>10</v>
      </c>
      <c r="E19" s="5" t="s">
        <v>275</v>
      </c>
      <c r="F19" s="5">
        <v>70.2</v>
      </c>
      <c r="G19" s="16">
        <v>3136</v>
      </c>
      <c r="H19" s="16">
        <v>1315</v>
      </c>
      <c r="I19" s="16">
        <v>194</v>
      </c>
      <c r="J19" s="16">
        <v>87</v>
      </c>
      <c r="K19">
        <f t="shared" si="0"/>
        <v>0.44672364672364673</v>
      </c>
      <c r="L19">
        <f t="shared" si="1"/>
        <v>0.18732193732193733</v>
      </c>
      <c r="M19">
        <f t="shared" si="2"/>
        <v>2.7635327635327639E-2</v>
      </c>
      <c r="N19">
        <f t="shared" si="3"/>
        <v>1.2393162393162394E-2</v>
      </c>
      <c r="O19" s="6">
        <f t="shared" si="11"/>
        <v>0.67407407407407405</v>
      </c>
      <c r="P19" s="16" t="s">
        <v>216</v>
      </c>
      <c r="R19" t="s">
        <v>364</v>
      </c>
      <c r="AL19" s="8">
        <f t="shared" si="13"/>
        <v>0.94786324786324794</v>
      </c>
      <c r="AM19">
        <f t="shared" si="4"/>
        <v>9478.6324786324785</v>
      </c>
    </row>
    <row r="20" spans="1:39">
      <c r="A20" s="15" t="s">
        <v>322</v>
      </c>
      <c r="B20" s="15" t="s">
        <v>219</v>
      </c>
      <c r="C20" s="5">
        <v>1</v>
      </c>
      <c r="D20" s="5">
        <v>10</v>
      </c>
      <c r="E20" s="5" t="s">
        <v>275</v>
      </c>
      <c r="F20" s="5">
        <v>70.2</v>
      </c>
      <c r="G20" s="16">
        <v>4390</v>
      </c>
      <c r="H20" s="16">
        <v>1801</v>
      </c>
      <c r="I20" s="16">
        <v>352</v>
      </c>
      <c r="J20" s="16">
        <v>197</v>
      </c>
      <c r="K20">
        <f t="shared" si="0"/>
        <v>0.62535612535612539</v>
      </c>
      <c r="L20">
        <f t="shared" si="1"/>
        <v>0.25655270655270657</v>
      </c>
      <c r="M20">
        <f t="shared" si="2"/>
        <v>5.0142450142450147E-2</v>
      </c>
      <c r="N20">
        <f t="shared" si="3"/>
        <v>2.8062678062678065E-2</v>
      </c>
      <c r="O20" s="6">
        <f t="shared" si="11"/>
        <v>0.96011396011396011</v>
      </c>
      <c r="P20" s="16" t="s">
        <v>219</v>
      </c>
      <c r="R20" t="s">
        <v>364</v>
      </c>
      <c r="AL20" s="8">
        <f t="shared" si="13"/>
        <v>0.96011396011396011</v>
      </c>
      <c r="AM20">
        <f t="shared" si="4"/>
        <v>9601.1396011396009</v>
      </c>
    </row>
    <row r="21" spans="1:39">
      <c r="A21" s="15" t="s">
        <v>323</v>
      </c>
      <c r="B21" s="15" t="s">
        <v>220</v>
      </c>
      <c r="C21" s="5">
        <v>1</v>
      </c>
      <c r="D21" s="5">
        <v>10</v>
      </c>
      <c r="E21" s="5" t="s">
        <v>275</v>
      </c>
      <c r="F21" s="5">
        <v>70.2</v>
      </c>
      <c r="G21" s="16">
        <v>7566</v>
      </c>
      <c r="H21" s="16">
        <v>3089</v>
      </c>
      <c r="I21" s="16">
        <v>648</v>
      </c>
      <c r="J21" s="16">
        <v>420</v>
      </c>
      <c r="K21">
        <f t="shared" si="0"/>
        <v>1.0777777777777779</v>
      </c>
      <c r="L21">
        <f t="shared" si="1"/>
        <v>0.44002849002849009</v>
      </c>
      <c r="M21">
        <f t="shared" si="2"/>
        <v>9.2307692307692313E-2</v>
      </c>
      <c r="N21">
        <f t="shared" si="3"/>
        <v>5.9829059829059839E-2</v>
      </c>
      <c r="O21" s="6">
        <f t="shared" si="11"/>
        <v>1.6699430199430203</v>
      </c>
      <c r="P21" s="16" t="s">
        <v>220</v>
      </c>
      <c r="R21" t="s">
        <v>364</v>
      </c>
      <c r="AL21" s="8">
        <f t="shared" si="13"/>
        <v>1.6699430199430203</v>
      </c>
      <c r="AM21">
        <f t="shared" si="4"/>
        <v>16699.430199430204</v>
      </c>
    </row>
    <row r="22" spans="1:39">
      <c r="A22" s="15" t="s">
        <v>324</v>
      </c>
      <c r="B22" s="15" t="s">
        <v>224</v>
      </c>
      <c r="C22" s="5">
        <v>1</v>
      </c>
      <c r="D22" s="5">
        <v>10</v>
      </c>
      <c r="E22" s="5" t="s">
        <v>275</v>
      </c>
      <c r="F22" s="5">
        <v>70.2</v>
      </c>
      <c r="G22" s="16">
        <v>4604</v>
      </c>
      <c r="H22" s="16">
        <v>2271</v>
      </c>
      <c r="I22" s="16">
        <v>499</v>
      </c>
      <c r="J22" s="16">
        <v>221</v>
      </c>
      <c r="K22">
        <f t="shared" si="0"/>
        <v>0.65584045584045592</v>
      </c>
      <c r="L22">
        <f t="shared" si="1"/>
        <v>0.32350427350427352</v>
      </c>
      <c r="M22">
        <f t="shared" si="2"/>
        <v>7.1082621082621089E-2</v>
      </c>
      <c r="N22">
        <f t="shared" si="3"/>
        <v>3.1481481481481485E-2</v>
      </c>
      <c r="O22" s="6">
        <f t="shared" si="11"/>
        <v>1.0819088319088321</v>
      </c>
      <c r="P22" s="16" t="s">
        <v>224</v>
      </c>
      <c r="R22" t="s">
        <v>364</v>
      </c>
      <c r="AL22" s="8">
        <f t="shared" si="13"/>
        <v>0.81125356125356118</v>
      </c>
      <c r="AM22">
        <f t="shared" si="4"/>
        <v>8112.535612535612</v>
      </c>
    </row>
    <row r="23" spans="1:39">
      <c r="A23" s="15" t="s">
        <v>325</v>
      </c>
      <c r="B23" s="15" t="s">
        <v>226</v>
      </c>
      <c r="C23" s="5">
        <v>1</v>
      </c>
      <c r="D23" s="5">
        <v>10</v>
      </c>
      <c r="E23" s="5" t="s">
        <v>275</v>
      </c>
      <c r="F23" s="5">
        <v>70.2</v>
      </c>
      <c r="G23" s="16">
        <v>5422</v>
      </c>
      <c r="H23" s="16">
        <v>2574</v>
      </c>
      <c r="I23" s="16">
        <v>542</v>
      </c>
      <c r="J23" s="16">
        <v>253</v>
      </c>
      <c r="K23">
        <f t="shared" si="0"/>
        <v>0.77236467236467243</v>
      </c>
      <c r="L23">
        <f t="shared" si="1"/>
        <v>0.3666666666666667</v>
      </c>
      <c r="M23">
        <f t="shared" si="2"/>
        <v>7.7207977207977216E-2</v>
      </c>
      <c r="N23">
        <f t="shared" si="3"/>
        <v>3.6039886039886039E-2</v>
      </c>
      <c r="O23" s="6">
        <f t="shared" si="11"/>
        <v>1.2522792022792024</v>
      </c>
      <c r="P23" s="16" t="s">
        <v>226</v>
      </c>
      <c r="R23" t="s">
        <v>364</v>
      </c>
      <c r="AL23" s="8">
        <f>X6</f>
        <v>1.0819088319088321</v>
      </c>
      <c r="AM23">
        <f t="shared" si="4"/>
        <v>10819.088319088321</v>
      </c>
    </row>
    <row r="24" spans="1:39">
      <c r="A24" s="15" t="s">
        <v>326</v>
      </c>
      <c r="B24" s="15" t="s">
        <v>228</v>
      </c>
      <c r="C24" s="5">
        <v>1</v>
      </c>
      <c r="D24" s="5">
        <v>10</v>
      </c>
      <c r="E24" s="5" t="s">
        <v>275</v>
      </c>
      <c r="F24" s="5">
        <v>70.2</v>
      </c>
      <c r="G24" s="16">
        <v>8225</v>
      </c>
      <c r="H24" s="16">
        <v>3629</v>
      </c>
      <c r="I24" s="16">
        <v>838</v>
      </c>
      <c r="J24" s="16">
        <v>475</v>
      </c>
      <c r="K24">
        <f t="shared" si="0"/>
        <v>1.1716524216524218</v>
      </c>
      <c r="L24">
        <f t="shared" si="1"/>
        <v>0.51695156695156697</v>
      </c>
      <c r="M24">
        <f t="shared" si="2"/>
        <v>0.11937321937321937</v>
      </c>
      <c r="N24">
        <f t="shared" si="3"/>
        <v>6.7663817663817669E-2</v>
      </c>
      <c r="O24" s="6">
        <f t="shared" si="11"/>
        <v>1.8756410256410256</v>
      </c>
      <c r="P24" s="16" t="s">
        <v>228</v>
      </c>
      <c r="R24" t="s">
        <v>364</v>
      </c>
      <c r="AL24" s="8">
        <f t="shared" ref="AL24:AL28" si="14">X7</f>
        <v>1.2522792022792024</v>
      </c>
      <c r="AM24">
        <f t="shared" si="4"/>
        <v>12522.792022792024</v>
      </c>
    </row>
    <row r="25" spans="1:39">
      <c r="A25" s="15" t="s">
        <v>327</v>
      </c>
      <c r="B25" s="15" t="s">
        <v>230</v>
      </c>
      <c r="C25" s="5">
        <v>1</v>
      </c>
      <c r="D25" s="5">
        <v>10</v>
      </c>
      <c r="E25" s="5" t="s">
        <v>275</v>
      </c>
      <c r="F25" s="5">
        <v>70.2</v>
      </c>
      <c r="G25" s="16">
        <v>3783</v>
      </c>
      <c r="H25" s="16">
        <v>1686</v>
      </c>
      <c r="I25" s="16">
        <v>334</v>
      </c>
      <c r="J25" s="16">
        <v>191</v>
      </c>
      <c r="K25">
        <f t="shared" si="0"/>
        <v>0.53888888888888897</v>
      </c>
      <c r="L25">
        <f t="shared" si="1"/>
        <v>0.24017094017094018</v>
      </c>
      <c r="M25">
        <f t="shared" si="2"/>
        <v>4.7578347578347578E-2</v>
      </c>
      <c r="N25">
        <f t="shared" si="3"/>
        <v>2.720797720797721E-2</v>
      </c>
      <c r="O25" s="6">
        <f t="shared" si="11"/>
        <v>0.85384615384615392</v>
      </c>
      <c r="P25" s="16" t="s">
        <v>230</v>
      </c>
      <c r="R25" t="s">
        <v>364</v>
      </c>
      <c r="AL25" s="8">
        <f t="shared" si="14"/>
        <v>1.8756410256410256</v>
      </c>
      <c r="AM25">
        <f t="shared" si="4"/>
        <v>18756.410256410258</v>
      </c>
    </row>
    <row r="26" spans="1:39">
      <c r="A26" s="15" t="s">
        <v>328</v>
      </c>
      <c r="B26" s="15" t="s">
        <v>232</v>
      </c>
      <c r="C26" s="5">
        <v>1</v>
      </c>
      <c r="D26" s="5">
        <v>10</v>
      </c>
      <c r="E26" s="5" t="s">
        <v>275</v>
      </c>
      <c r="F26" s="5">
        <v>70.2</v>
      </c>
      <c r="G26" s="16">
        <v>3874</v>
      </c>
      <c r="H26" s="16">
        <v>1554</v>
      </c>
      <c r="I26" s="16">
        <v>406</v>
      </c>
      <c r="J26" s="16">
        <v>247</v>
      </c>
      <c r="K26">
        <f t="shared" si="0"/>
        <v>0.55185185185185193</v>
      </c>
      <c r="L26">
        <f t="shared" si="1"/>
        <v>0.22136752136752139</v>
      </c>
      <c r="M26">
        <f t="shared" si="2"/>
        <v>5.783475783475784E-2</v>
      </c>
      <c r="N26">
        <f t="shared" si="3"/>
        <v>3.5185185185185187E-2</v>
      </c>
      <c r="O26" s="6">
        <f t="shared" si="11"/>
        <v>0.86623931623931638</v>
      </c>
      <c r="P26" s="16" t="s">
        <v>232</v>
      </c>
      <c r="R26" t="s">
        <v>364</v>
      </c>
      <c r="AL26" s="8">
        <f t="shared" si="14"/>
        <v>0.85384615384615392</v>
      </c>
      <c r="AM26">
        <f t="shared" si="4"/>
        <v>8538.461538461539</v>
      </c>
    </row>
    <row r="27" spans="1:39">
      <c r="A27" s="15" t="s">
        <v>329</v>
      </c>
      <c r="B27" s="15" t="s">
        <v>234</v>
      </c>
      <c r="C27" s="5">
        <v>1</v>
      </c>
      <c r="D27" s="5">
        <v>10</v>
      </c>
      <c r="E27" s="5" t="s">
        <v>275</v>
      </c>
      <c r="F27" s="5">
        <v>70.2</v>
      </c>
      <c r="G27" s="16">
        <v>5051</v>
      </c>
      <c r="H27" s="16">
        <v>2078</v>
      </c>
      <c r="I27" s="16">
        <v>488</v>
      </c>
      <c r="J27" s="16">
        <v>362</v>
      </c>
      <c r="K27">
        <f t="shared" si="0"/>
        <v>0.71951566951566959</v>
      </c>
      <c r="L27">
        <f t="shared" si="1"/>
        <v>0.29601139601139603</v>
      </c>
      <c r="M27">
        <f t="shared" si="2"/>
        <v>6.9515669515669509E-2</v>
      </c>
      <c r="N27">
        <f t="shared" si="3"/>
        <v>5.1566951566951569E-2</v>
      </c>
      <c r="O27" s="6">
        <f t="shared" si="11"/>
        <v>1.1366096866096869</v>
      </c>
      <c r="P27" s="16" t="s">
        <v>234</v>
      </c>
      <c r="R27" t="s">
        <v>364</v>
      </c>
      <c r="AL27" s="8">
        <f t="shared" si="14"/>
        <v>0.86623931623931638</v>
      </c>
      <c r="AM27">
        <f t="shared" si="4"/>
        <v>8662.3931623931639</v>
      </c>
    </row>
    <row r="28" spans="1:39">
      <c r="A28" s="15" t="s">
        <v>330</v>
      </c>
      <c r="B28" s="15" t="s">
        <v>236</v>
      </c>
      <c r="C28" s="5">
        <v>1</v>
      </c>
      <c r="D28" s="5">
        <v>10</v>
      </c>
      <c r="E28" s="5" t="s">
        <v>275</v>
      </c>
      <c r="F28" s="5">
        <v>70.2</v>
      </c>
      <c r="G28" s="16">
        <v>4621</v>
      </c>
      <c r="H28" s="16">
        <v>2401</v>
      </c>
      <c r="I28" s="16">
        <v>546</v>
      </c>
      <c r="J28" s="16">
        <v>309</v>
      </c>
      <c r="K28">
        <f t="shared" si="0"/>
        <v>0.65826210826210829</v>
      </c>
      <c r="L28">
        <f t="shared" si="1"/>
        <v>0.34202279202279207</v>
      </c>
      <c r="M28">
        <f t="shared" si="2"/>
        <v>7.7777777777777779E-2</v>
      </c>
      <c r="N28">
        <f t="shared" si="3"/>
        <v>4.401709401709402E-2</v>
      </c>
      <c r="O28" s="6">
        <f t="shared" si="11"/>
        <v>1.1220797720797722</v>
      </c>
      <c r="P28" s="16" t="s">
        <v>236</v>
      </c>
      <c r="R28" t="s">
        <v>364</v>
      </c>
      <c r="AL28" s="8">
        <f t="shared" si="14"/>
        <v>1.1366096866096869</v>
      </c>
      <c r="AM28">
        <f t="shared" si="4"/>
        <v>11366.096866096868</v>
      </c>
    </row>
    <row r="29" spans="1:39">
      <c r="A29" s="15" t="s">
        <v>365</v>
      </c>
      <c r="B29" s="15" t="s">
        <v>238</v>
      </c>
      <c r="C29" s="5">
        <v>1</v>
      </c>
      <c r="D29" s="5">
        <v>10</v>
      </c>
      <c r="E29" s="5" t="s">
        <v>275</v>
      </c>
      <c r="F29" s="5">
        <v>70.2</v>
      </c>
      <c r="G29" s="16">
        <v>7653</v>
      </c>
      <c r="H29" s="16">
        <v>3994</v>
      </c>
      <c r="I29" s="16">
        <v>1040</v>
      </c>
      <c r="J29" s="16">
        <v>535</v>
      </c>
      <c r="K29">
        <f t="shared" si="0"/>
        <v>1.0901709401709403</v>
      </c>
      <c r="L29">
        <f t="shared" si="1"/>
        <v>0.56894586894586896</v>
      </c>
      <c r="M29">
        <f t="shared" si="2"/>
        <v>0.14814814814814814</v>
      </c>
      <c r="N29">
        <f t="shared" si="3"/>
        <v>7.6210826210826213E-2</v>
      </c>
      <c r="O29" s="6">
        <f t="shared" si="11"/>
        <v>1.8834757834757836</v>
      </c>
      <c r="P29" s="16" t="s">
        <v>238</v>
      </c>
      <c r="R29" t="s">
        <v>364</v>
      </c>
      <c r="AL29" s="8">
        <f>Y6</f>
        <v>1.1220797720797722</v>
      </c>
      <c r="AM29">
        <f t="shared" si="4"/>
        <v>11220.797720797722</v>
      </c>
    </row>
    <row r="30" spans="1:39">
      <c r="A30" s="15" t="s">
        <v>366</v>
      </c>
      <c r="B30" s="15" t="s">
        <v>240</v>
      </c>
      <c r="C30" s="5">
        <v>1</v>
      </c>
      <c r="D30" s="5">
        <v>10</v>
      </c>
      <c r="E30" s="5" t="s">
        <v>275</v>
      </c>
      <c r="F30" s="5">
        <v>70.2</v>
      </c>
      <c r="G30" s="16">
        <v>2333</v>
      </c>
      <c r="H30" s="16">
        <v>958</v>
      </c>
      <c r="I30" s="16">
        <v>234</v>
      </c>
      <c r="J30" s="16">
        <v>122</v>
      </c>
      <c r="K30">
        <f t="shared" si="0"/>
        <v>0.33233618233618234</v>
      </c>
      <c r="L30">
        <f t="shared" si="1"/>
        <v>0.13646723646723646</v>
      </c>
      <c r="M30">
        <f t="shared" si="2"/>
        <v>3.333333333333334E-2</v>
      </c>
      <c r="N30">
        <f t="shared" si="3"/>
        <v>1.7378917378917377E-2</v>
      </c>
      <c r="O30" s="6">
        <f t="shared" si="11"/>
        <v>0.51951566951566952</v>
      </c>
      <c r="P30" s="16" t="s">
        <v>240</v>
      </c>
      <c r="R30" t="s">
        <v>364</v>
      </c>
      <c r="AL30" s="8">
        <f t="shared" ref="AL30:AL34" si="15">Y7</f>
        <v>1.8834757834757836</v>
      </c>
      <c r="AM30">
        <f t="shared" si="4"/>
        <v>18834.757834757835</v>
      </c>
    </row>
    <row r="31" spans="1:39">
      <c r="A31" s="15" t="s">
        <v>355</v>
      </c>
      <c r="B31" s="15" t="s">
        <v>242</v>
      </c>
      <c r="C31" s="5">
        <v>1</v>
      </c>
      <c r="D31" s="5">
        <v>10</v>
      </c>
      <c r="E31" s="5" t="s">
        <v>275</v>
      </c>
      <c r="F31" s="5">
        <v>70.2</v>
      </c>
      <c r="G31" s="16">
        <v>4884</v>
      </c>
      <c r="H31" s="16">
        <v>2112</v>
      </c>
      <c r="I31" s="16">
        <v>576</v>
      </c>
      <c r="J31" s="16">
        <v>433</v>
      </c>
      <c r="K31">
        <f t="shared" si="0"/>
        <v>0.69572649572649581</v>
      </c>
      <c r="L31">
        <f t="shared" si="1"/>
        <v>0.3008547008547009</v>
      </c>
      <c r="M31">
        <f t="shared" si="2"/>
        <v>8.2051282051282051E-2</v>
      </c>
      <c r="N31">
        <f t="shared" si="3"/>
        <v>6.1680911680911686E-2</v>
      </c>
      <c r="O31" s="6">
        <f t="shared" si="11"/>
        <v>1.1403133903133904</v>
      </c>
      <c r="P31" s="16" t="s">
        <v>242</v>
      </c>
      <c r="R31" t="s">
        <v>364</v>
      </c>
      <c r="AL31" s="8">
        <f t="shared" si="15"/>
        <v>0.51951566951566952</v>
      </c>
      <c r="AM31">
        <f t="shared" si="4"/>
        <v>5195.1566951566956</v>
      </c>
    </row>
    <row r="32" spans="1:39">
      <c r="A32" s="15" t="s">
        <v>356</v>
      </c>
      <c r="B32" s="15" t="s">
        <v>244</v>
      </c>
      <c r="C32" s="5">
        <v>1</v>
      </c>
      <c r="D32" s="5">
        <v>10</v>
      </c>
      <c r="E32" s="5" t="s">
        <v>275</v>
      </c>
      <c r="F32" s="5">
        <v>70.2</v>
      </c>
      <c r="G32" s="16">
        <v>6465</v>
      </c>
      <c r="H32" s="16">
        <v>2978</v>
      </c>
      <c r="I32" s="16">
        <v>899</v>
      </c>
      <c r="J32" s="16">
        <v>630</v>
      </c>
      <c r="K32">
        <f t="shared" si="0"/>
        <v>0.92094017094017111</v>
      </c>
      <c r="L32">
        <f t="shared" si="1"/>
        <v>0.42421652421652423</v>
      </c>
      <c r="M32">
        <f t="shared" si="2"/>
        <v>0.12806267806267807</v>
      </c>
      <c r="N32">
        <f t="shared" si="3"/>
        <v>8.9743589743589744E-2</v>
      </c>
      <c r="O32" s="6">
        <f t="shared" si="11"/>
        <v>1.5629629629629631</v>
      </c>
      <c r="P32" s="16" t="s">
        <v>244</v>
      </c>
      <c r="R32" t="s">
        <v>364</v>
      </c>
      <c r="AL32" s="8">
        <f t="shared" si="15"/>
        <v>1.1403133903133904</v>
      </c>
      <c r="AM32">
        <f t="shared" si="4"/>
        <v>11403.133903133905</v>
      </c>
    </row>
    <row r="33" spans="1:39">
      <c r="A33" s="15" t="s">
        <v>357</v>
      </c>
      <c r="B33" s="15" t="s">
        <v>246</v>
      </c>
      <c r="C33" s="5">
        <v>1</v>
      </c>
      <c r="D33" s="5">
        <v>10</v>
      </c>
      <c r="E33" s="5" t="s">
        <v>275</v>
      </c>
      <c r="F33" s="5">
        <v>70.2</v>
      </c>
      <c r="G33" s="16">
        <v>4044</v>
      </c>
      <c r="H33" s="16">
        <v>1701</v>
      </c>
      <c r="I33" s="16">
        <v>513</v>
      </c>
      <c r="J33" s="16">
        <v>396</v>
      </c>
      <c r="K33">
        <f t="shared" si="0"/>
        <v>0.57606837606837602</v>
      </c>
      <c r="L33">
        <f t="shared" si="1"/>
        <v>0.24230769230769234</v>
      </c>
      <c r="M33">
        <f t="shared" si="2"/>
        <v>7.3076923076923081E-2</v>
      </c>
      <c r="N33">
        <f t="shared" si="3"/>
        <v>5.6410256410256411E-2</v>
      </c>
      <c r="O33" s="6">
        <f t="shared" si="11"/>
        <v>0.94786324786324783</v>
      </c>
      <c r="P33" s="16" t="s">
        <v>246</v>
      </c>
      <c r="R33" t="s">
        <v>364</v>
      </c>
      <c r="AL33" s="8">
        <f t="shared" si="15"/>
        <v>1.5629629629629631</v>
      </c>
      <c r="AM33">
        <f t="shared" si="4"/>
        <v>15629.629629629631</v>
      </c>
    </row>
    <row r="34" spans="1:39">
      <c r="A34" s="15" t="s">
        <v>358</v>
      </c>
      <c r="B34" s="15" t="s">
        <v>367</v>
      </c>
      <c r="C34" s="5">
        <v>1</v>
      </c>
      <c r="D34" s="5">
        <v>10</v>
      </c>
      <c r="E34" s="5" t="s">
        <v>275</v>
      </c>
      <c r="F34" s="5">
        <v>70.2</v>
      </c>
      <c r="G34" s="16">
        <v>1060</v>
      </c>
      <c r="H34" s="16">
        <v>215</v>
      </c>
      <c r="I34" s="16">
        <v>184</v>
      </c>
      <c r="J34" s="16">
        <v>35</v>
      </c>
      <c r="K34">
        <f t="shared" si="0"/>
        <v>0.15099715099715103</v>
      </c>
      <c r="L34">
        <f t="shared" si="1"/>
        <v>3.062678062678063E-2</v>
      </c>
      <c r="M34">
        <f t="shared" si="2"/>
        <v>2.6210826210826214E-2</v>
      </c>
      <c r="N34">
        <f t="shared" si="3"/>
        <v>4.9857549857549865E-3</v>
      </c>
      <c r="O34" s="6">
        <f t="shared" si="11"/>
        <v>0.21282051282051284</v>
      </c>
      <c r="P34" s="16" t="s">
        <v>367</v>
      </c>
      <c r="R34" t="s">
        <v>364</v>
      </c>
      <c r="AL34" s="8">
        <f t="shared" si="15"/>
        <v>0.94786324786324783</v>
      </c>
      <c r="AM34">
        <f>AL34*10000</f>
        <v>9478.6324786324785</v>
      </c>
    </row>
    <row r="35" spans="1:39">
      <c r="A35" s="15" t="s">
        <v>359</v>
      </c>
      <c r="B35" s="15" t="s">
        <v>368</v>
      </c>
      <c r="C35" s="5">
        <v>1</v>
      </c>
      <c r="D35" s="5">
        <v>10</v>
      </c>
      <c r="E35" s="5" t="s">
        <v>275</v>
      </c>
      <c r="F35" s="5">
        <v>70.2</v>
      </c>
      <c r="G35" s="16">
        <v>1118</v>
      </c>
      <c r="H35" s="16">
        <v>156</v>
      </c>
      <c r="I35" s="16">
        <v>127</v>
      </c>
      <c r="J35" s="16">
        <v>37</v>
      </c>
      <c r="K35">
        <f t="shared" si="0"/>
        <v>0.15925925925925927</v>
      </c>
      <c r="L35">
        <f t="shared" si="1"/>
        <v>2.2222222222222223E-2</v>
      </c>
      <c r="M35">
        <f t="shared" si="2"/>
        <v>1.8091168091168092E-2</v>
      </c>
      <c r="N35">
        <f t="shared" si="3"/>
        <v>5.2706552706552707E-3</v>
      </c>
      <c r="O35" s="6">
        <f t="shared" si="11"/>
        <v>0.20484330484330485</v>
      </c>
      <c r="P35" s="16" t="s">
        <v>368</v>
      </c>
      <c r="R35" t="s">
        <v>364</v>
      </c>
    </row>
    <row r="36" spans="1:39">
      <c r="A36" s="15" t="s">
        <v>360</v>
      </c>
      <c r="B36" s="15" t="s">
        <v>369</v>
      </c>
      <c r="C36" s="5">
        <v>1</v>
      </c>
      <c r="D36" s="5">
        <v>10</v>
      </c>
      <c r="E36" s="5" t="s">
        <v>275</v>
      </c>
      <c r="F36" s="5">
        <v>70.2</v>
      </c>
      <c r="G36" s="16">
        <v>1959</v>
      </c>
      <c r="H36" s="16">
        <v>323</v>
      </c>
      <c r="I36" s="16">
        <v>338</v>
      </c>
      <c r="J36" s="16">
        <v>96</v>
      </c>
      <c r="K36">
        <f t="shared" si="0"/>
        <v>0.27905982905982912</v>
      </c>
      <c r="L36">
        <f t="shared" si="1"/>
        <v>4.6011396011396019E-2</v>
      </c>
      <c r="M36">
        <f t="shared" si="2"/>
        <v>4.8148148148148155E-2</v>
      </c>
      <c r="N36">
        <f t="shared" si="3"/>
        <v>1.3675213675213675E-2</v>
      </c>
      <c r="O36" s="6">
        <f t="shared" si="11"/>
        <v>0.386894586894587</v>
      </c>
      <c r="P36" s="16" t="s">
        <v>369</v>
      </c>
      <c r="R36" t="s">
        <v>364</v>
      </c>
    </row>
    <row r="37" spans="1:39">
      <c r="C37" s="5"/>
      <c r="D37" s="5"/>
      <c r="E37" s="5"/>
      <c r="F37" s="5"/>
      <c r="G37" s="16"/>
      <c r="H37" s="16"/>
      <c r="I37" s="16"/>
      <c r="J37" s="16"/>
      <c r="O37" s="6"/>
      <c r="T37" t="s">
        <v>395</v>
      </c>
      <c r="U37" t="s">
        <v>396</v>
      </c>
      <c r="V37" t="s">
        <v>397</v>
      </c>
    </row>
    <row r="38" spans="1:39">
      <c r="C38" s="5">
        <v>1</v>
      </c>
      <c r="D38" s="5">
        <v>10</v>
      </c>
      <c r="E38" s="5" t="s">
        <v>275</v>
      </c>
      <c r="F38" s="5">
        <v>70.2</v>
      </c>
      <c r="G38" s="16">
        <v>1959</v>
      </c>
      <c r="H38" s="16">
        <v>323</v>
      </c>
      <c r="I38" s="16">
        <v>338</v>
      </c>
      <c r="J38" s="16">
        <v>96</v>
      </c>
      <c r="K38">
        <f t="shared" si="0"/>
        <v>0.27905982905982912</v>
      </c>
      <c r="L38">
        <f t="shared" si="1"/>
        <v>4.6011396011396019E-2</v>
      </c>
      <c r="M38">
        <f t="shared" si="2"/>
        <v>4.8148148148148155E-2</v>
      </c>
      <c r="N38">
        <f t="shared" si="3"/>
        <v>1.3675213675213675E-2</v>
      </c>
      <c r="O38" s="6">
        <f>K38+L38+M38+N38</f>
        <v>0.386894586894587</v>
      </c>
      <c r="S38" t="s">
        <v>281</v>
      </c>
      <c r="T38" s="8">
        <f>O28</f>
        <v>1.1220797720797722</v>
      </c>
      <c r="U38" s="8">
        <f>O34</f>
        <v>0.21282051282051284</v>
      </c>
      <c r="V38">
        <f>T38/U38</f>
        <v>5.2724230254350735</v>
      </c>
    </row>
    <row r="39" spans="1:39">
      <c r="S39" t="s">
        <v>282</v>
      </c>
      <c r="T39" s="8">
        <f>O29</f>
        <v>1.8834757834757836</v>
      </c>
      <c r="U39" s="8">
        <f>O35</f>
        <v>0.20484330484330485</v>
      </c>
      <c r="V39">
        <f>T39/U39</f>
        <v>9.19471488178025</v>
      </c>
    </row>
    <row r="40" spans="1:39">
      <c r="S40" t="s">
        <v>283</v>
      </c>
      <c r="T40" s="8">
        <f>O30</f>
        <v>0.51951566951566952</v>
      </c>
      <c r="U40" s="8">
        <f>O36</f>
        <v>0.386894586894587</v>
      </c>
      <c r="V40">
        <f>T40/U40</f>
        <v>1.3427835051546388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9"/>
  </sheetPr>
  <dimension ref="A1:W61"/>
  <sheetViews>
    <sheetView workbookViewId="0">
      <selection activeCell="A10" sqref="A10"/>
    </sheetView>
  </sheetViews>
  <sheetFormatPr defaultRowHeight="15"/>
  <cols>
    <col min="2" max="2" width="9.85546875" customWidth="1"/>
    <col min="20" max="20" width="12.5703125" customWidth="1"/>
    <col min="21" max="21" width="11.28515625" customWidth="1"/>
  </cols>
  <sheetData>
    <row r="1" spans="1:13">
      <c r="A1" t="s">
        <v>432</v>
      </c>
    </row>
    <row r="4" spans="1:13">
      <c r="B4">
        <v>21.3</v>
      </c>
      <c r="D4">
        <v>0</v>
      </c>
      <c r="E4">
        <f>AVERAGE(B4:C4)</f>
        <v>21.3</v>
      </c>
      <c r="L4" t="s">
        <v>1</v>
      </c>
      <c r="M4">
        <v>133.71</v>
      </c>
    </row>
    <row r="5" spans="1:13">
      <c r="B5">
        <v>35.5</v>
      </c>
      <c r="D5">
        <v>0.05</v>
      </c>
      <c r="E5">
        <f t="shared" ref="E5:E16" si="0">AVERAGE(B5:C5)</f>
        <v>35.5</v>
      </c>
      <c r="L5" t="s">
        <v>2</v>
      </c>
      <c r="M5">
        <v>26.161000000000001</v>
      </c>
    </row>
    <row r="6" spans="1:13">
      <c r="B6">
        <v>36.5</v>
      </c>
      <c r="C6">
        <v>41.3</v>
      </c>
      <c r="D6">
        <v>0.1</v>
      </c>
      <c r="E6">
        <f t="shared" si="0"/>
        <v>38.9</v>
      </c>
    </row>
    <row r="7" spans="1:13">
      <c r="B7">
        <v>60.6</v>
      </c>
      <c r="C7">
        <v>70.5</v>
      </c>
      <c r="D7">
        <v>0.25</v>
      </c>
      <c r="E7">
        <f t="shared" si="0"/>
        <v>65.55</v>
      </c>
    </row>
    <row r="8" spans="1:13">
      <c r="B8">
        <v>90.7</v>
      </c>
      <c r="C8">
        <v>89.1</v>
      </c>
      <c r="D8">
        <v>0.5</v>
      </c>
      <c r="E8">
        <f t="shared" si="0"/>
        <v>89.9</v>
      </c>
    </row>
    <row r="12" spans="1:13">
      <c r="B12">
        <v>17.600000000000001</v>
      </c>
      <c r="C12">
        <v>5.4</v>
      </c>
      <c r="D12">
        <v>0</v>
      </c>
      <c r="E12">
        <f t="shared" si="0"/>
        <v>11.5</v>
      </c>
      <c r="L12" t="s">
        <v>1</v>
      </c>
      <c r="M12">
        <v>124.92</v>
      </c>
    </row>
    <row r="13" spans="1:13">
      <c r="B13">
        <v>21.9</v>
      </c>
      <c r="C13">
        <v>21.4</v>
      </c>
      <c r="D13">
        <v>0.5</v>
      </c>
      <c r="E13">
        <f t="shared" si="0"/>
        <v>21.65</v>
      </c>
      <c r="L13" t="s">
        <v>2</v>
      </c>
      <c r="M13">
        <v>-14.585000000000001</v>
      </c>
    </row>
    <row r="14" spans="1:13">
      <c r="B14">
        <v>14.5</v>
      </c>
      <c r="C14">
        <v>146.19999999999999</v>
      </c>
      <c r="D14">
        <v>1</v>
      </c>
      <c r="E14">
        <f t="shared" si="0"/>
        <v>80.349999999999994</v>
      </c>
    </row>
    <row r="15" spans="1:13">
      <c r="B15">
        <v>272.39999999999998</v>
      </c>
      <c r="C15">
        <v>269.8</v>
      </c>
      <c r="D15">
        <v>2</v>
      </c>
      <c r="E15">
        <f t="shared" si="0"/>
        <v>271.10000000000002</v>
      </c>
    </row>
    <row r="16" spans="1:13">
      <c r="B16">
        <v>599.70000000000005</v>
      </c>
      <c r="C16">
        <v>608.9</v>
      </c>
      <c r="D16">
        <v>5</v>
      </c>
      <c r="E16">
        <f t="shared" si="0"/>
        <v>604.29999999999995</v>
      </c>
    </row>
    <row r="19" spans="1:15">
      <c r="D19" t="s">
        <v>393</v>
      </c>
      <c r="E19" t="s">
        <v>392</v>
      </c>
      <c r="F19" s="22" t="s">
        <v>394</v>
      </c>
      <c r="G19" s="22"/>
    </row>
    <row r="20" spans="1:15">
      <c r="B20" t="s">
        <v>389</v>
      </c>
      <c r="C20">
        <v>612.70000000000005</v>
      </c>
      <c r="D20">
        <f>(C20-$M$5)/$M$4</f>
        <v>4.3866502131478571</v>
      </c>
      <c r="E20">
        <f>D20*2</f>
        <v>8.7733004262957142</v>
      </c>
      <c r="F20" s="22">
        <f>E20*(20/500)</f>
        <v>0.35093201705182858</v>
      </c>
      <c r="G20" s="22"/>
    </row>
    <row r="21" spans="1:15">
      <c r="B21" t="s">
        <v>389</v>
      </c>
      <c r="C21">
        <v>612.6</v>
      </c>
      <c r="D21">
        <f>(C21-$M$5)/$M$4</f>
        <v>4.3859023259292504</v>
      </c>
      <c r="E21">
        <f t="shared" ref="E21:E26" si="1">D21*2</f>
        <v>8.7718046518585009</v>
      </c>
      <c r="F21" s="22">
        <f>E21*(20/500)</f>
        <v>0.35087218607434006</v>
      </c>
      <c r="G21" s="22"/>
    </row>
    <row r="22" spans="1:15">
      <c r="B22" t="s">
        <v>390</v>
      </c>
      <c r="C22">
        <v>280.89999999999998</v>
      </c>
      <c r="D22">
        <f>(C22-$M$13)/$M$12</f>
        <v>2.3653938520653215</v>
      </c>
      <c r="E22">
        <f t="shared" si="1"/>
        <v>4.730787704130643</v>
      </c>
      <c r="F22" s="22">
        <f>E22*(20/500)</f>
        <v>0.18923150816522571</v>
      </c>
      <c r="G22" s="22"/>
    </row>
    <row r="23" spans="1:15">
      <c r="B23" t="s">
        <v>390</v>
      </c>
      <c r="C23">
        <v>277</v>
      </c>
      <c r="D23">
        <f>(C23-$M$13)/$M$12</f>
        <v>2.3341738712776174</v>
      </c>
      <c r="E23">
        <f t="shared" si="1"/>
        <v>4.6683477425552349</v>
      </c>
      <c r="F23" s="22">
        <f>E23*(20/500)</f>
        <v>0.18673390970220941</v>
      </c>
      <c r="G23" s="22"/>
    </row>
    <row r="25" spans="1:15">
      <c r="B25" t="s">
        <v>391</v>
      </c>
      <c r="C25">
        <v>540.4</v>
      </c>
      <c r="D25">
        <f>(C25-$M$5)/$M$4</f>
        <v>3.8459277540946823</v>
      </c>
      <c r="E25">
        <f t="shared" si="1"/>
        <v>7.6918555081893647</v>
      </c>
    </row>
    <row r="26" spans="1:15">
      <c r="B26" t="s">
        <v>391</v>
      </c>
      <c r="C26">
        <v>824.5</v>
      </c>
      <c r="D26">
        <f>(C26-$M$13)/$M$12</f>
        <v>6.7169788664745438</v>
      </c>
      <c r="E26">
        <f t="shared" si="1"/>
        <v>13.433957732949088</v>
      </c>
    </row>
    <row r="29" spans="1:15" ht="39.75">
      <c r="A29" s="4" t="s">
        <v>64</v>
      </c>
      <c r="B29" s="4" t="s">
        <v>65</v>
      </c>
      <c r="C29" s="4" t="s">
        <v>66</v>
      </c>
      <c r="D29" s="4" t="s">
        <v>67</v>
      </c>
      <c r="E29" s="4" t="s">
        <v>68</v>
      </c>
      <c r="F29" s="4" t="s">
        <v>69</v>
      </c>
      <c r="G29" s="4" t="s">
        <v>70</v>
      </c>
      <c r="H29" s="4" t="s">
        <v>71</v>
      </c>
      <c r="I29" s="4" t="s">
        <v>72</v>
      </c>
      <c r="J29" s="4" t="s">
        <v>73</v>
      </c>
      <c r="K29" s="23" t="s">
        <v>398</v>
      </c>
      <c r="L29" s="4" t="s">
        <v>74</v>
      </c>
    </row>
    <row r="30" spans="1:15">
      <c r="A30" s="5"/>
      <c r="B30" s="5"/>
      <c r="C30" s="5"/>
      <c r="D30" s="5"/>
      <c r="E30" s="5"/>
      <c r="F30" s="5"/>
      <c r="G30" s="5"/>
      <c r="H30" s="5" t="s">
        <v>275</v>
      </c>
      <c r="I30" s="5">
        <v>76.900000000000006</v>
      </c>
      <c r="K30" s="5"/>
      <c r="L30" s="6"/>
    </row>
    <row r="31" spans="1:15">
      <c r="C31" s="5"/>
      <c r="D31" s="5"/>
      <c r="E31" s="5"/>
      <c r="F31" s="5"/>
      <c r="G31" s="5"/>
      <c r="H31" s="5" t="s">
        <v>75</v>
      </c>
      <c r="I31" s="5">
        <v>52.4</v>
      </c>
      <c r="L31" s="6"/>
    </row>
    <row r="32" spans="1:15">
      <c r="A32" t="s">
        <v>399</v>
      </c>
      <c r="B32" t="s">
        <v>400</v>
      </c>
      <c r="C32" s="5">
        <v>1000</v>
      </c>
      <c r="D32" s="5">
        <v>1</v>
      </c>
      <c r="E32" s="5">
        <v>500</v>
      </c>
      <c r="F32" s="5">
        <v>10</v>
      </c>
      <c r="G32" s="5">
        <f>E32+F32</f>
        <v>510</v>
      </c>
      <c r="H32" s="5" t="s">
        <v>75</v>
      </c>
      <c r="I32" s="5">
        <v>52.4</v>
      </c>
      <c r="J32">
        <v>40885</v>
      </c>
      <c r="K32">
        <v>78</v>
      </c>
      <c r="L32" s="6">
        <f>((((J32)/((I32*D32)/1000))*C32)*(G32/E32))/100000</f>
        <v>7958.5305343511454</v>
      </c>
      <c r="M32" s="6">
        <f>((((K32)/((I32*D32)/1000))*C32)*(G32/E32))/100000</f>
        <v>15.18320610687023</v>
      </c>
      <c r="N32" s="6">
        <f>((((J32+K32)/((I32*D32)/1000))*C32)*(G32/E32))/100000</f>
        <v>7973.7137404580162</v>
      </c>
      <c r="O32" t="s">
        <v>400</v>
      </c>
    </row>
    <row r="33" spans="1:23">
      <c r="A33" t="s">
        <v>401</v>
      </c>
      <c r="B33" t="s">
        <v>400</v>
      </c>
      <c r="C33" s="5">
        <v>1000</v>
      </c>
      <c r="D33" s="5">
        <v>1</v>
      </c>
      <c r="E33" s="5">
        <v>500</v>
      </c>
      <c r="F33" s="5">
        <v>10</v>
      </c>
      <c r="G33" s="5">
        <f>E33+F33</f>
        <v>510</v>
      </c>
      <c r="H33" s="5" t="s">
        <v>75</v>
      </c>
      <c r="I33" s="5">
        <v>52.4</v>
      </c>
      <c r="J33">
        <v>39840</v>
      </c>
      <c r="K33">
        <v>80</v>
      </c>
      <c r="L33" s="6">
        <f>((((J33)/((I33*D33)/1000))*C33)*(G33/E33))/100000</f>
        <v>7755.1145038167942</v>
      </c>
      <c r="M33" s="6">
        <f>((((K33)/((I33*D33)/1000))*C33)*(G33/E33))/100000</f>
        <v>15.572519083969468</v>
      </c>
      <c r="N33" s="6">
        <f>((((J33+K33)/((I33*D33)/1000))*C33)*(G33/E33))/100000</f>
        <v>7770.6870229007636</v>
      </c>
      <c r="O33" t="s">
        <v>400</v>
      </c>
    </row>
    <row r="34" spans="1:23">
      <c r="A34" t="s">
        <v>402</v>
      </c>
      <c r="B34" t="s">
        <v>403</v>
      </c>
      <c r="C34" s="5">
        <v>1000</v>
      </c>
      <c r="D34" s="5">
        <v>1</v>
      </c>
      <c r="E34" s="5">
        <v>500</v>
      </c>
      <c r="F34" s="5">
        <v>10</v>
      </c>
      <c r="G34" s="5">
        <f>E34+F34</f>
        <v>510</v>
      </c>
      <c r="H34" s="5" t="s">
        <v>75</v>
      </c>
      <c r="I34" s="5">
        <v>52.4</v>
      </c>
      <c r="J34">
        <v>49375</v>
      </c>
      <c r="K34">
        <v>2256</v>
      </c>
      <c r="L34" s="6">
        <f>((((J34)/((I34*D34)/1000))*C34)*(G34/E34))/100000</f>
        <v>9611.1641221374066</v>
      </c>
      <c r="M34" s="6">
        <f>((((K34)/((I34*D34)/1000))*C34)*(G34/E34))/100000</f>
        <v>439.14503816793905</v>
      </c>
      <c r="N34" s="6">
        <f>((((J34+K34)/((I34*D34)/1000))*C34)*(G34/E34))/100000</f>
        <v>10050.309160305345</v>
      </c>
      <c r="O34" t="s">
        <v>403</v>
      </c>
    </row>
    <row r="35" spans="1:23">
      <c r="A35" t="s">
        <v>76</v>
      </c>
      <c r="B35" t="s">
        <v>404</v>
      </c>
      <c r="C35" s="5">
        <v>1000</v>
      </c>
      <c r="D35" s="5">
        <v>1</v>
      </c>
      <c r="E35" s="5">
        <v>500</v>
      </c>
      <c r="F35" s="5">
        <v>10</v>
      </c>
      <c r="G35" s="5">
        <f>E35+F35</f>
        <v>510</v>
      </c>
      <c r="H35" s="5" t="s">
        <v>275</v>
      </c>
      <c r="I35" s="5">
        <v>76.900000000000006</v>
      </c>
      <c r="J35">
        <v>6198</v>
      </c>
      <c r="K35">
        <v>911</v>
      </c>
      <c r="L35" s="6">
        <f>((((J35)/((I35*D35)/1000))*C35)*(G35/E35))/100000</f>
        <v>822.10143042912875</v>
      </c>
      <c r="M35" s="6">
        <f>((((K35)/((I35*D35)/1000))*C35)*(G35/E35))/100000</f>
        <v>120.8348504551365</v>
      </c>
      <c r="N35" s="6">
        <f>((((J35+K35)/((I35*D35)/1000))*C35)*(G35/E35))/100000</f>
        <v>942.9362808842651</v>
      </c>
      <c r="O35" t="s">
        <v>404</v>
      </c>
    </row>
    <row r="36" spans="1:23">
      <c r="A36" t="s">
        <v>78</v>
      </c>
      <c r="B36" t="s">
        <v>405</v>
      </c>
      <c r="C36" s="5">
        <v>1000</v>
      </c>
      <c r="D36" s="5">
        <v>1</v>
      </c>
      <c r="E36" s="5">
        <v>500</v>
      </c>
      <c r="F36" s="5">
        <v>10</v>
      </c>
      <c r="G36" s="5">
        <f>E36+F36</f>
        <v>510</v>
      </c>
      <c r="H36" s="5" t="s">
        <v>275</v>
      </c>
      <c r="I36" s="5">
        <v>76.900000000000006</v>
      </c>
      <c r="J36">
        <v>6754</v>
      </c>
      <c r="K36">
        <v>3887</v>
      </c>
      <c r="L36" s="6">
        <f>((((J36)/((I36*D36)/1000))*C36)*(G36/E36))/100000</f>
        <v>895.84915474642378</v>
      </c>
      <c r="M36" s="6">
        <f>((((K36)/((I36*D36)/1000))*C36)*(G36/E36))/100000</f>
        <v>515.57087126137833</v>
      </c>
      <c r="N36" s="6">
        <f>((((J36+K36)/((I36*D36)/1000))*C36)*(G36/E36))/100000</f>
        <v>1411.4200260078021</v>
      </c>
      <c r="O36" t="s">
        <v>405</v>
      </c>
    </row>
    <row r="38" spans="1:23">
      <c r="T38" t="s">
        <v>345</v>
      </c>
      <c r="V38" t="s">
        <v>344</v>
      </c>
    </row>
    <row r="39" spans="1:23" ht="39.75">
      <c r="A39" s="4" t="s">
        <v>64</v>
      </c>
      <c r="B39" s="4" t="s">
        <v>65</v>
      </c>
      <c r="C39" s="4" t="s">
        <v>66</v>
      </c>
      <c r="D39" s="4" t="s">
        <v>67</v>
      </c>
      <c r="E39" s="4" t="s">
        <v>68</v>
      </c>
      <c r="F39" s="4" t="s">
        <v>69</v>
      </c>
      <c r="G39" s="4" t="s">
        <v>70</v>
      </c>
      <c r="H39" s="4" t="s">
        <v>71</v>
      </c>
      <c r="I39" s="4" t="s">
        <v>72</v>
      </c>
      <c r="J39" s="4" t="s">
        <v>193</v>
      </c>
      <c r="K39" s="4" t="s">
        <v>73</v>
      </c>
      <c r="L39" s="4" t="s">
        <v>288</v>
      </c>
      <c r="T39" t="s">
        <v>409</v>
      </c>
      <c r="U39" t="s">
        <v>410</v>
      </c>
      <c r="V39" t="s">
        <v>409</v>
      </c>
      <c r="W39" t="s">
        <v>410</v>
      </c>
    </row>
    <row r="40" spans="1:23">
      <c r="A40" s="5"/>
      <c r="B40" s="5"/>
      <c r="C40" s="5"/>
      <c r="D40" s="5"/>
      <c r="E40" s="5"/>
      <c r="F40" s="5"/>
      <c r="G40" s="5"/>
      <c r="H40" s="5" t="s">
        <v>275</v>
      </c>
      <c r="I40" s="5">
        <v>76.900000000000006</v>
      </c>
      <c r="J40" s="5"/>
      <c r="K40" s="5"/>
      <c r="L40" s="6"/>
      <c r="S40" t="s">
        <v>407</v>
      </c>
      <c r="T40" s="24">
        <f>AVERAGE(N32:N33)*100000*1000</f>
        <v>787220038167.93896</v>
      </c>
      <c r="U40" s="24">
        <f>L46*1000*1000000</f>
        <v>323423276983.09485</v>
      </c>
      <c r="V40" s="24">
        <f>N35*1000*100000</f>
        <v>94293628088.426514</v>
      </c>
      <c r="W40" s="24">
        <f>L48*1000*1000000</f>
        <v>9781112359550.5625</v>
      </c>
    </row>
    <row r="41" spans="1:23">
      <c r="C41" s="5"/>
      <c r="D41" s="5"/>
      <c r="E41" s="5"/>
      <c r="F41" s="5"/>
      <c r="G41" s="5"/>
      <c r="H41" s="5" t="s">
        <v>75</v>
      </c>
      <c r="I41" s="5">
        <v>53.4</v>
      </c>
      <c r="J41" s="7"/>
      <c r="L41" s="6"/>
      <c r="S41" t="s">
        <v>408</v>
      </c>
      <c r="T41" s="24">
        <f>N34*100000*1000</f>
        <v>1005030916030.5345</v>
      </c>
      <c r="U41" s="24">
        <f>L47*1000*1000000</f>
        <v>245342002600.78018</v>
      </c>
      <c r="V41" s="24">
        <f>N36*1000*100000</f>
        <v>141142002600.78021</v>
      </c>
      <c r="W41" s="24">
        <f>L49*1000*1000000</f>
        <v>2266130039011.7026</v>
      </c>
    </row>
    <row r="42" spans="1:23">
      <c r="A42" t="s">
        <v>138</v>
      </c>
      <c r="B42" t="s">
        <v>137</v>
      </c>
      <c r="C42" s="5"/>
      <c r="D42" s="5"/>
      <c r="E42" s="5"/>
      <c r="F42" s="5"/>
      <c r="G42" s="5"/>
      <c r="H42" s="5" t="s">
        <v>75</v>
      </c>
      <c r="I42" s="5">
        <v>53.4</v>
      </c>
      <c r="J42" s="14"/>
      <c r="K42">
        <v>388</v>
      </c>
      <c r="L42" s="6"/>
      <c r="M42" t="s">
        <v>137</v>
      </c>
    </row>
    <row r="43" spans="1:23">
      <c r="A43" t="s">
        <v>139</v>
      </c>
      <c r="B43" t="s">
        <v>140</v>
      </c>
      <c r="C43" s="5"/>
      <c r="D43" s="5"/>
      <c r="E43" s="5"/>
      <c r="F43" s="5"/>
      <c r="G43" s="5"/>
      <c r="H43" s="5" t="s">
        <v>75</v>
      </c>
      <c r="I43" s="5">
        <v>53.4</v>
      </c>
      <c r="J43" s="14"/>
      <c r="K43">
        <v>321</v>
      </c>
      <c r="L43" s="6"/>
      <c r="M43" t="s">
        <v>140</v>
      </c>
      <c r="T43" t="s">
        <v>411</v>
      </c>
      <c r="U43" t="s">
        <v>412</v>
      </c>
    </row>
    <row r="44" spans="1:23">
      <c r="A44" t="s">
        <v>141</v>
      </c>
      <c r="B44" t="s">
        <v>142</v>
      </c>
      <c r="C44" s="5"/>
      <c r="D44" s="5"/>
      <c r="E44" s="5"/>
      <c r="F44" s="5"/>
      <c r="G44" s="5"/>
      <c r="H44" s="5" t="s">
        <v>275</v>
      </c>
      <c r="I44" s="5">
        <v>76.900000000000006</v>
      </c>
      <c r="J44" s="14"/>
      <c r="K44">
        <v>321</v>
      </c>
      <c r="L44" s="6"/>
      <c r="M44" t="s">
        <v>142</v>
      </c>
      <c r="S44" t="s">
        <v>407</v>
      </c>
      <c r="T44" s="24">
        <f>(T40-V40)</f>
        <v>692926410079.51245</v>
      </c>
      <c r="U44" s="24">
        <f>(W40-U40)</f>
        <v>9457689082567.4668</v>
      </c>
      <c r="V44" t="s">
        <v>414</v>
      </c>
    </row>
    <row r="45" spans="1:23">
      <c r="A45" t="s">
        <v>143</v>
      </c>
      <c r="B45" t="s">
        <v>144</v>
      </c>
      <c r="C45" s="5"/>
      <c r="D45" s="5"/>
      <c r="E45" s="5"/>
      <c r="F45" s="5"/>
      <c r="G45" s="5"/>
      <c r="H45" s="5" t="s">
        <v>275</v>
      </c>
      <c r="I45" s="5">
        <v>76.900000000000006</v>
      </c>
      <c r="J45" s="14"/>
      <c r="K45">
        <v>319</v>
      </c>
      <c r="L45" s="6"/>
      <c r="M45" t="s">
        <v>144</v>
      </c>
      <c r="S45" t="s">
        <v>408</v>
      </c>
      <c r="T45" s="24">
        <f>(T41-V41)</f>
        <v>863888913429.75439</v>
      </c>
      <c r="U45" s="24">
        <f>(W41-U41)</f>
        <v>2020788036410.9224</v>
      </c>
      <c r="V45" t="s">
        <v>414</v>
      </c>
    </row>
    <row r="46" spans="1:23">
      <c r="A46" t="s">
        <v>145</v>
      </c>
      <c r="B46" t="s">
        <v>406</v>
      </c>
      <c r="C46" s="5">
        <v>1000</v>
      </c>
      <c r="D46" s="5">
        <v>1</v>
      </c>
      <c r="E46" s="5">
        <v>500</v>
      </c>
      <c r="F46" s="5">
        <v>5</v>
      </c>
      <c r="G46" s="5">
        <f>E46+F46</f>
        <v>505</v>
      </c>
      <c r="H46" s="5" t="s">
        <v>275</v>
      </c>
      <c r="I46" s="5">
        <v>76.900000000000006</v>
      </c>
      <c r="J46" s="14">
        <v>319</v>
      </c>
      <c r="K46">
        <v>24944</v>
      </c>
      <c r="L46" s="6">
        <f>((((K46-J46)/((I46*D46)/1000))*C46)*(G46/E46))/1000000</f>
        <v>323.42327698309487</v>
      </c>
      <c r="M46" t="s">
        <v>406</v>
      </c>
    </row>
    <row r="47" spans="1:23">
      <c r="A47" t="s">
        <v>146</v>
      </c>
      <c r="B47" t="s">
        <v>403</v>
      </c>
      <c r="C47" s="5">
        <v>1000</v>
      </c>
      <c r="D47" s="5">
        <v>1</v>
      </c>
      <c r="E47" s="5">
        <v>500</v>
      </c>
      <c r="F47" s="5">
        <v>5</v>
      </c>
      <c r="G47" s="5">
        <f>E47+F47</f>
        <v>505</v>
      </c>
      <c r="H47" s="5" t="s">
        <v>275</v>
      </c>
      <c r="I47" s="5">
        <v>76.900000000000006</v>
      </c>
      <c r="J47" s="14">
        <v>319</v>
      </c>
      <c r="K47">
        <v>18999</v>
      </c>
      <c r="L47" s="6">
        <f>((((K47-J47)/((I47*D47)/1000))*C47)*(G47/E47))/1000000</f>
        <v>245.34200260078021</v>
      </c>
      <c r="M47" t="s">
        <v>403</v>
      </c>
      <c r="T47" t="s">
        <v>413</v>
      </c>
    </row>
    <row r="48" spans="1:23">
      <c r="A48" t="s">
        <v>147</v>
      </c>
      <c r="B48" t="s">
        <v>404</v>
      </c>
      <c r="C48" s="5">
        <v>10000</v>
      </c>
      <c r="D48" s="5">
        <v>1</v>
      </c>
      <c r="E48" s="5">
        <v>500</v>
      </c>
      <c r="F48" s="5">
        <v>5</v>
      </c>
      <c r="G48" s="5">
        <f>E48+F48</f>
        <v>505</v>
      </c>
      <c r="H48" s="5" t="s">
        <v>75</v>
      </c>
      <c r="I48" s="5">
        <v>53.4</v>
      </c>
      <c r="J48" s="14">
        <v>319</v>
      </c>
      <c r="K48">
        <v>52033</v>
      </c>
      <c r="L48" s="6">
        <f>((((K48-J48)/((I48*D48)/1000))*C48)*(G48/E48))/1000000</f>
        <v>9781.1123595505615</v>
      </c>
      <c r="M48" t="s">
        <v>404</v>
      </c>
      <c r="S48" t="s">
        <v>407</v>
      </c>
      <c r="T48" s="9">
        <f>T44*0.00000000000000254*1000000</f>
        <v>1760.0330816019616</v>
      </c>
      <c r="U48" t="s">
        <v>392</v>
      </c>
    </row>
    <row r="49" spans="1:21">
      <c r="A49" t="s">
        <v>148</v>
      </c>
      <c r="B49" t="s">
        <v>405</v>
      </c>
      <c r="C49" s="5">
        <v>10000</v>
      </c>
      <c r="D49" s="5">
        <v>1</v>
      </c>
      <c r="E49" s="5">
        <v>500</v>
      </c>
      <c r="F49" s="5">
        <v>5</v>
      </c>
      <c r="G49" s="5">
        <f>E49+F49</f>
        <v>505</v>
      </c>
      <c r="H49" s="5" t="s">
        <v>275</v>
      </c>
      <c r="I49" s="5">
        <v>76.900000000000006</v>
      </c>
      <c r="J49" s="14">
        <v>319</v>
      </c>
      <c r="K49">
        <v>17573</v>
      </c>
      <c r="L49" s="6">
        <f>((((K49-J49)/((I49*D49)/1000))*C49)*(G49/E49))/1000000</f>
        <v>2266.130039011703</v>
      </c>
      <c r="M49" t="s">
        <v>405</v>
      </c>
      <c r="S49" t="s">
        <v>408</v>
      </c>
      <c r="T49" s="9">
        <f>T45*0.00000000000000254*1000000</f>
        <v>2194.2778401115761</v>
      </c>
      <c r="U49" t="s">
        <v>392</v>
      </c>
    </row>
    <row r="51" spans="1:21">
      <c r="T51" t="s">
        <v>415</v>
      </c>
    </row>
    <row r="52" spans="1:21">
      <c r="S52" t="s">
        <v>407</v>
      </c>
      <c r="T52" s="25">
        <f>U40/T40</f>
        <v>0.410842282083905</v>
      </c>
    </row>
    <row r="53" spans="1:21">
      <c r="S53" t="s">
        <v>408</v>
      </c>
      <c r="T53" s="25">
        <f>U41/T41</f>
        <v>0.24411388613773377</v>
      </c>
    </row>
    <row r="55" spans="1:21">
      <c r="S55" t="s">
        <v>416</v>
      </c>
    </row>
    <row r="56" spans="1:21">
      <c r="T56" t="s">
        <v>418</v>
      </c>
    </row>
    <row r="57" spans="1:21">
      <c r="S57" t="s">
        <v>407</v>
      </c>
      <c r="T57">
        <f>20*T48/520</f>
        <v>67.693580061613915</v>
      </c>
      <c r="U57" t="s">
        <v>417</v>
      </c>
    </row>
    <row r="58" spans="1:21">
      <c r="S58" t="s">
        <v>408</v>
      </c>
      <c r="T58">
        <f>20*T49/520</f>
        <v>84.395301542752918</v>
      </c>
      <c r="U58" t="s">
        <v>417</v>
      </c>
    </row>
    <row r="61" spans="1:21">
      <c r="T61">
        <f>T57/2</f>
        <v>33.846790030806957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S56"/>
  <sheetViews>
    <sheetView workbookViewId="0">
      <selection activeCell="L40" sqref="L40"/>
    </sheetView>
  </sheetViews>
  <sheetFormatPr defaultRowHeight="15"/>
  <cols>
    <col min="12" max="12" width="12" bestFit="1" customWidth="1"/>
  </cols>
  <sheetData>
    <row r="1" spans="1:19">
      <c r="A1" t="s">
        <v>0</v>
      </c>
    </row>
    <row r="4" spans="1:19">
      <c r="A4">
        <v>0</v>
      </c>
      <c r="B4">
        <v>23.6</v>
      </c>
      <c r="C4">
        <v>24.4</v>
      </c>
      <c r="D4">
        <v>23.2</v>
      </c>
      <c r="E4">
        <f t="shared" ref="E4:E9" si="0">AVERAGE(B4:D4)</f>
        <v>23.733333333333334</v>
      </c>
      <c r="M4" t="s">
        <v>1</v>
      </c>
      <c r="N4">
        <v>530.29999999999995</v>
      </c>
    </row>
    <row r="5" spans="1:19">
      <c r="A5">
        <v>0.05</v>
      </c>
      <c r="B5">
        <v>46.3</v>
      </c>
      <c r="C5">
        <v>46</v>
      </c>
      <c r="E5">
        <f t="shared" si="0"/>
        <v>46.15</v>
      </c>
      <c r="M5" t="s">
        <v>2</v>
      </c>
      <c r="N5">
        <v>13.759</v>
      </c>
    </row>
    <row r="6" spans="1:19">
      <c r="A6">
        <v>0.1</v>
      </c>
      <c r="B6">
        <v>71.599999999999994</v>
      </c>
      <c r="C6">
        <v>74.400000000000006</v>
      </c>
      <c r="E6">
        <f t="shared" si="0"/>
        <v>73</v>
      </c>
    </row>
    <row r="7" spans="1:19">
      <c r="A7">
        <v>0.25</v>
      </c>
      <c r="B7">
        <v>137.80000000000001</v>
      </c>
      <c r="C7">
        <v>138.1</v>
      </c>
      <c r="E7">
        <f t="shared" si="0"/>
        <v>137.94999999999999</v>
      </c>
    </row>
    <row r="8" spans="1:19">
      <c r="A8">
        <v>0.5</v>
      </c>
      <c r="B8">
        <v>249.4</v>
      </c>
      <c r="C8">
        <v>249</v>
      </c>
      <c r="E8">
        <f t="shared" si="0"/>
        <v>249.2</v>
      </c>
    </row>
    <row r="9" spans="1:19">
      <c r="A9">
        <v>1</v>
      </c>
      <c r="B9">
        <v>649.9</v>
      </c>
      <c r="C9">
        <v>470.3</v>
      </c>
      <c r="E9">
        <f t="shared" si="0"/>
        <v>560.1</v>
      </c>
    </row>
    <row r="13" spans="1:19">
      <c r="D13" t="s">
        <v>8</v>
      </c>
      <c r="E13" t="s">
        <v>9</v>
      </c>
      <c r="F13" t="s">
        <v>10</v>
      </c>
      <c r="G13" t="s">
        <v>8</v>
      </c>
      <c r="H13" t="s">
        <v>9</v>
      </c>
      <c r="I13" t="s">
        <v>10</v>
      </c>
      <c r="J13" t="s">
        <v>11</v>
      </c>
      <c r="K13" t="s">
        <v>12</v>
      </c>
      <c r="O13">
        <v>0</v>
      </c>
      <c r="P13">
        <v>6.25</v>
      </c>
      <c r="Q13">
        <v>11</v>
      </c>
      <c r="R13">
        <v>21</v>
      </c>
      <c r="S13">
        <v>32</v>
      </c>
    </row>
    <row r="14" spans="1:19">
      <c r="B14">
        <v>1</v>
      </c>
      <c r="C14" t="s">
        <v>3</v>
      </c>
      <c r="D14">
        <v>444.4</v>
      </c>
      <c r="E14">
        <v>443.8</v>
      </c>
      <c r="F14">
        <v>434.6</v>
      </c>
      <c r="G14">
        <f>(D14-$N$5)/$N$4</f>
        <v>0.81207052611729214</v>
      </c>
      <c r="H14">
        <f>(E14-$N$5)/$N$4</f>
        <v>0.81093909108052054</v>
      </c>
      <c r="I14">
        <f>(F14-$N$5)/$N$4</f>
        <v>0.79359042051668871</v>
      </c>
      <c r="J14">
        <f>AVERAGE(G14:I14)</f>
        <v>0.80553334590483372</v>
      </c>
      <c r="K14">
        <f>STDEV(G14:I14)</f>
        <v>1.0358336566780832E-2</v>
      </c>
      <c r="N14" t="s">
        <v>421</v>
      </c>
      <c r="O14">
        <f>J14</f>
        <v>0.80553334590483372</v>
      </c>
      <c r="P14">
        <f>J16</f>
        <v>0.43530265887233649</v>
      </c>
      <c r="Q14">
        <f>J18</f>
        <v>0.17639260795775977</v>
      </c>
      <c r="R14">
        <f>J20</f>
        <v>0.1305694889685084</v>
      </c>
      <c r="S14">
        <f>J22</f>
        <v>0.10492362813501792</v>
      </c>
    </row>
    <row r="15" spans="1:19">
      <c r="B15">
        <v>2</v>
      </c>
      <c r="C15" t="s">
        <v>3</v>
      </c>
      <c r="D15">
        <v>308.60000000000002</v>
      </c>
      <c r="E15">
        <v>305.5</v>
      </c>
      <c r="F15">
        <v>288.60000000000002</v>
      </c>
      <c r="G15">
        <f t="shared" ref="G15:G23" si="1">(D15-$N$5)/$N$4</f>
        <v>0.55598906279464455</v>
      </c>
      <c r="H15">
        <f t="shared" ref="H15:H23" si="2">(E15-$N$5)/$N$4</f>
        <v>0.55014331510465775</v>
      </c>
      <c r="I15">
        <f t="shared" ref="I15:I23" si="3">(F15-$N$5)/$N$4</f>
        <v>0.51827456156892326</v>
      </c>
      <c r="J15">
        <f t="shared" ref="J15:J23" si="4">AVERAGE(G15:I15)</f>
        <v>0.54146897982274178</v>
      </c>
      <c r="K15">
        <f t="shared" ref="K15:K23" si="5">STDEV(G15:I15)</f>
        <v>2.02984967451669E-2</v>
      </c>
      <c r="N15" t="s">
        <v>14</v>
      </c>
      <c r="O15">
        <f>J15</f>
        <v>0.54146897982274178</v>
      </c>
      <c r="P15">
        <f>J17</f>
        <v>0.17764975799861715</v>
      </c>
      <c r="Q15">
        <f>J19</f>
        <v>4.2191841096234833E-2</v>
      </c>
      <c r="R15">
        <f>J21</f>
        <v>2.8614620654975175E-2</v>
      </c>
      <c r="S15">
        <f>J23</f>
        <v>3.477465585517632E-2</v>
      </c>
    </row>
    <row r="16" spans="1:19">
      <c r="B16">
        <v>1</v>
      </c>
      <c r="C16" t="s">
        <v>4</v>
      </c>
      <c r="D16">
        <v>288.8</v>
      </c>
      <c r="E16">
        <v>222.9</v>
      </c>
      <c r="F16">
        <v>222.1</v>
      </c>
      <c r="G16">
        <f t="shared" si="1"/>
        <v>0.51865170658118054</v>
      </c>
      <c r="H16">
        <f t="shared" si="2"/>
        <v>0.39438242504242887</v>
      </c>
      <c r="I16">
        <f t="shared" si="3"/>
        <v>0.3928738449934</v>
      </c>
      <c r="J16">
        <f t="shared" si="4"/>
        <v>0.43530265887233649</v>
      </c>
      <c r="K16">
        <f t="shared" si="5"/>
        <v>7.2186333671405312E-2</v>
      </c>
    </row>
    <row r="17" spans="2:19">
      <c r="B17">
        <v>2</v>
      </c>
      <c r="C17" t="s">
        <v>4</v>
      </c>
      <c r="D17">
        <v>116.4</v>
      </c>
      <c r="E17">
        <v>110.1</v>
      </c>
      <c r="F17">
        <v>97.4</v>
      </c>
      <c r="G17">
        <f t="shared" si="1"/>
        <v>0.19355270601546298</v>
      </c>
      <c r="H17">
        <f t="shared" si="2"/>
        <v>0.18167263812936074</v>
      </c>
      <c r="I17">
        <f t="shared" si="3"/>
        <v>0.15772392985102773</v>
      </c>
      <c r="J17">
        <f t="shared" si="4"/>
        <v>0.17764975799861715</v>
      </c>
      <c r="K17">
        <f t="shared" si="5"/>
        <v>1.8250012979996743E-2</v>
      </c>
      <c r="O17">
        <f>K14/(SQRT(3))</f>
        <v>5.9803884051876574E-3</v>
      </c>
      <c r="P17">
        <f>K16/(SQRT(3))</f>
        <v>4.1676799176998007E-2</v>
      </c>
      <c r="Q17">
        <f>K18/(SQRT(3))</f>
        <v>1.2526003535647092E-2</v>
      </c>
      <c r="R17">
        <f>K20/(SQRT(3))</f>
        <v>1.1314874168108693E-2</v>
      </c>
      <c r="S17">
        <f>K22/(SQRT(3))</f>
        <v>5.4956296421885438E-3</v>
      </c>
    </row>
    <row r="18" spans="2:19">
      <c r="B18">
        <v>1</v>
      </c>
      <c r="C18" t="s">
        <v>5</v>
      </c>
      <c r="D18">
        <v>119</v>
      </c>
      <c r="E18">
        <v>106.9</v>
      </c>
      <c r="F18">
        <v>96</v>
      </c>
      <c r="G18">
        <f t="shared" si="1"/>
        <v>0.19845559117480674</v>
      </c>
      <c r="H18">
        <f t="shared" si="2"/>
        <v>0.17563831793324536</v>
      </c>
      <c r="I18">
        <f t="shared" si="3"/>
        <v>0.15508391476522723</v>
      </c>
      <c r="J18">
        <f t="shared" si="4"/>
        <v>0.17639260795775977</v>
      </c>
      <c r="K18">
        <f t="shared" si="5"/>
        <v>2.1695674539528156E-2</v>
      </c>
      <c r="O18">
        <f>K15/(SQRT(3))</f>
        <v>1.1719342559966853E-2</v>
      </c>
      <c r="P18">
        <f>K17/(SQRT(3))</f>
        <v>1.0536649906715285E-2</v>
      </c>
      <c r="Q18">
        <f>K19/(SQRT(3))</f>
        <v>1.2054063052841235E-2</v>
      </c>
      <c r="R18">
        <f>K21/(SQRT(3))</f>
        <v>7.3457268118843726E-3</v>
      </c>
      <c r="S18">
        <f>K23/(SQRT(3))</f>
        <v>2.1855979195064073E-3</v>
      </c>
    </row>
    <row r="19" spans="2:19">
      <c r="B19">
        <v>2</v>
      </c>
      <c r="C19" t="s">
        <v>5</v>
      </c>
      <c r="D19">
        <v>48.8</v>
      </c>
      <c r="E19">
        <v>31.3</v>
      </c>
      <c r="F19">
        <v>28.3</v>
      </c>
      <c r="G19">
        <f t="shared" si="1"/>
        <v>6.6077691872524991E-2</v>
      </c>
      <c r="H19">
        <f t="shared" si="2"/>
        <v>3.3077503300018858E-2</v>
      </c>
      <c r="I19">
        <f t="shared" si="3"/>
        <v>2.7420328116160665E-2</v>
      </c>
      <c r="J19">
        <f t="shared" si="4"/>
        <v>4.2191841096234833E-2</v>
      </c>
      <c r="K19">
        <f t="shared" si="5"/>
        <v>2.0878249645159826E-2</v>
      </c>
    </row>
    <row r="20" spans="2:19">
      <c r="B20">
        <v>1</v>
      </c>
      <c r="C20" t="s">
        <v>6</v>
      </c>
      <c r="D20">
        <v>73.5</v>
      </c>
      <c r="E20">
        <v>81.400000000000006</v>
      </c>
      <c r="F20">
        <v>94.1</v>
      </c>
      <c r="G20">
        <f t="shared" si="1"/>
        <v>0.11265510088629078</v>
      </c>
      <c r="H20">
        <f t="shared" si="2"/>
        <v>0.1275523288704507</v>
      </c>
      <c r="I20">
        <f t="shared" si="3"/>
        <v>0.15150103714878371</v>
      </c>
      <c r="J20">
        <f t="shared" si="4"/>
        <v>0.1305694889685084</v>
      </c>
      <c r="K20">
        <f t="shared" si="5"/>
        <v>1.959793694041289E-2</v>
      </c>
    </row>
    <row r="21" spans="2:19">
      <c r="B21">
        <v>2</v>
      </c>
      <c r="C21" t="s">
        <v>6</v>
      </c>
      <c r="D21">
        <v>36.6</v>
      </c>
      <c r="E21">
        <v>26.3</v>
      </c>
      <c r="F21">
        <v>23.9</v>
      </c>
      <c r="G21">
        <f t="shared" si="1"/>
        <v>4.3071846124835007E-2</v>
      </c>
      <c r="H21">
        <f t="shared" si="2"/>
        <v>2.3648877993588537E-2</v>
      </c>
      <c r="I21">
        <f t="shared" si="3"/>
        <v>1.9123137846501978E-2</v>
      </c>
      <c r="J21">
        <f t="shared" si="4"/>
        <v>2.8614620654975175E-2</v>
      </c>
      <c r="K21">
        <f t="shared" si="5"/>
        <v>1.272317205670468E-2</v>
      </c>
    </row>
    <row r="22" spans="2:19">
      <c r="B22">
        <v>1</v>
      </c>
      <c r="C22" t="s">
        <v>7</v>
      </c>
      <c r="D22">
        <v>75</v>
      </c>
      <c r="E22">
        <v>65.2</v>
      </c>
      <c r="F22">
        <v>68</v>
      </c>
      <c r="G22">
        <f t="shared" si="1"/>
        <v>0.11548368847821988</v>
      </c>
      <c r="H22">
        <f t="shared" si="2"/>
        <v>9.7003582877616457E-2</v>
      </c>
      <c r="I22">
        <f t="shared" si="3"/>
        <v>0.10228361304921743</v>
      </c>
      <c r="J22">
        <f t="shared" si="4"/>
        <v>0.10492362813501792</v>
      </c>
      <c r="K22">
        <f t="shared" si="5"/>
        <v>9.5187097598521276E-3</v>
      </c>
    </row>
    <row r="23" spans="2:19">
      <c r="B23">
        <v>2</v>
      </c>
      <c r="C23" t="s">
        <v>7</v>
      </c>
      <c r="D23">
        <v>32.4</v>
      </c>
      <c r="E23">
        <v>34.1</v>
      </c>
      <c r="F23">
        <v>30.1</v>
      </c>
      <c r="G23">
        <f t="shared" si="1"/>
        <v>3.5151800867433525E-2</v>
      </c>
      <c r="H23">
        <f t="shared" si="2"/>
        <v>3.8357533471619847E-2</v>
      </c>
      <c r="I23">
        <f t="shared" si="3"/>
        <v>3.0814633226475586E-2</v>
      </c>
      <c r="J23">
        <f t="shared" si="4"/>
        <v>3.477465585517632E-2</v>
      </c>
      <c r="K23">
        <f t="shared" si="5"/>
        <v>3.7855666415019303E-3</v>
      </c>
    </row>
    <row r="27" spans="2:19">
      <c r="F27" s="2" t="s">
        <v>424</v>
      </c>
      <c r="G27">
        <f>G14</f>
        <v>0.81207052611729214</v>
      </c>
    </row>
    <row r="28" spans="2:19">
      <c r="G28">
        <f>H14</f>
        <v>0.81093909108052054</v>
      </c>
    </row>
    <row r="29" spans="2:19">
      <c r="G29">
        <f>I14</f>
        <v>0.79359042051668871</v>
      </c>
    </row>
    <row r="30" spans="2:19">
      <c r="G30">
        <f>G15</f>
        <v>0.55598906279464455</v>
      </c>
    </row>
    <row r="31" spans="2:19">
      <c r="G31">
        <f>H15</f>
        <v>0.55014331510465775</v>
      </c>
    </row>
    <row r="32" spans="2:19">
      <c r="G32">
        <f>I15</f>
        <v>0.51827456156892326</v>
      </c>
    </row>
    <row r="33" spans="7:14">
      <c r="G33">
        <f>G16</f>
        <v>0.51865170658118054</v>
      </c>
    </row>
    <row r="34" spans="7:14">
      <c r="G34">
        <f>H16</f>
        <v>0.39438242504242887</v>
      </c>
    </row>
    <row r="35" spans="7:14">
      <c r="G35">
        <f>I16</f>
        <v>0.3928738449934</v>
      </c>
    </row>
    <row r="36" spans="7:14">
      <c r="G36">
        <f>G17</f>
        <v>0.19355270601546298</v>
      </c>
      <c r="I36" t="s">
        <v>429</v>
      </c>
      <c r="J36" t="s">
        <v>428</v>
      </c>
      <c r="K36" t="s">
        <v>427</v>
      </c>
      <c r="L36" t="s">
        <v>375</v>
      </c>
      <c r="M36" t="s">
        <v>425</v>
      </c>
      <c r="N36" t="s">
        <v>426</v>
      </c>
    </row>
    <row r="37" spans="7:14">
      <c r="G37">
        <f>H17</f>
        <v>0.18167263812936074</v>
      </c>
      <c r="I37" t="s">
        <v>13</v>
      </c>
      <c r="J37">
        <f>G14-G22</f>
        <v>0.69658683763907225</v>
      </c>
      <c r="K37">
        <f t="shared" ref="K37:L37" si="6">H14-H22</f>
        <v>0.71393550820290408</v>
      </c>
      <c r="L37">
        <f t="shared" si="6"/>
        <v>0.69130680746747131</v>
      </c>
      <c r="M37">
        <f>AVERAGE(J37:L37)</f>
        <v>0.70060971776981573</v>
      </c>
      <c r="N37">
        <f>STDEV(J37:L37)</f>
        <v>1.1838589343886914E-2</v>
      </c>
    </row>
    <row r="38" spans="7:14">
      <c r="G38">
        <f>I17</f>
        <v>0.15772392985102773</v>
      </c>
      <c r="I38" t="s">
        <v>14</v>
      </c>
      <c r="J38">
        <f>G15-G23</f>
        <v>0.52083726192721103</v>
      </c>
      <c r="K38">
        <f t="shared" ref="K38:L38" si="7">H15-H23</f>
        <v>0.5117857816330379</v>
      </c>
      <c r="L38">
        <f t="shared" si="7"/>
        <v>0.48745992834244767</v>
      </c>
      <c r="M38">
        <f>AVERAGE(J38:L38)</f>
        <v>0.50669432396756553</v>
      </c>
      <c r="N38">
        <f>STDEV(J38:L38)</f>
        <v>1.7261338452640801E-2</v>
      </c>
    </row>
    <row r="39" spans="7:14">
      <c r="G39">
        <f>G18</f>
        <v>0.19845559117480674</v>
      </c>
    </row>
    <row r="40" spans="7:14">
      <c r="G40">
        <f>H18</f>
        <v>0.17563831793324536</v>
      </c>
      <c r="L40">
        <f>TTEST(J37:L37,J38:L38,2,2)</f>
        <v>8.8197588999561075E-5</v>
      </c>
    </row>
    <row r="41" spans="7:14">
      <c r="G41">
        <f>I18</f>
        <v>0.15508391476522723</v>
      </c>
    </row>
    <row r="42" spans="7:14">
      <c r="G42">
        <f>G19</f>
        <v>6.6077691872524991E-2</v>
      </c>
    </row>
    <row r="43" spans="7:14">
      <c r="G43">
        <f>H19</f>
        <v>3.3077503300018858E-2</v>
      </c>
    </row>
    <row r="44" spans="7:14">
      <c r="G44">
        <f>I19</f>
        <v>2.7420328116160665E-2</v>
      </c>
    </row>
    <row r="45" spans="7:14">
      <c r="G45">
        <f>G20</f>
        <v>0.11265510088629078</v>
      </c>
    </row>
    <row r="46" spans="7:14">
      <c r="G46">
        <f>H20</f>
        <v>0.1275523288704507</v>
      </c>
    </row>
    <row r="47" spans="7:14">
      <c r="G47">
        <f>I20</f>
        <v>0.15150103714878371</v>
      </c>
    </row>
    <row r="48" spans="7:14">
      <c r="G48">
        <f>G21</f>
        <v>4.3071846124835007E-2</v>
      </c>
    </row>
    <row r="49" spans="7:7">
      <c r="G49">
        <f>H21</f>
        <v>2.3648877993588537E-2</v>
      </c>
    </row>
    <row r="50" spans="7:7">
      <c r="G50">
        <f>I21</f>
        <v>1.9123137846501978E-2</v>
      </c>
    </row>
    <row r="51" spans="7:7">
      <c r="G51">
        <f>G22</f>
        <v>0.11548368847821988</v>
      </c>
    </row>
    <row r="52" spans="7:7">
      <c r="G52">
        <f>H22</f>
        <v>9.7003582877616457E-2</v>
      </c>
    </row>
    <row r="53" spans="7:7">
      <c r="G53">
        <f>I22</f>
        <v>0.10228361304921743</v>
      </c>
    </row>
    <row r="54" spans="7:7">
      <c r="G54">
        <f>G23</f>
        <v>3.5151800867433525E-2</v>
      </c>
    </row>
    <row r="55" spans="7:7">
      <c r="G55">
        <f>H23</f>
        <v>3.8357533471619847E-2</v>
      </c>
    </row>
    <row r="56" spans="7:7">
      <c r="G56">
        <f>I23</f>
        <v>3.0814633226475586E-2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A3:X36"/>
  <sheetViews>
    <sheetView workbookViewId="0">
      <selection activeCell="X6" sqref="X6:X35"/>
    </sheetView>
  </sheetViews>
  <sheetFormatPr defaultRowHeight="15"/>
  <sheetData>
    <row r="3" spans="1:24" ht="39.75">
      <c r="A3" s="4" t="s">
        <v>64</v>
      </c>
      <c r="B3" s="4" t="s">
        <v>65</v>
      </c>
      <c r="C3" s="4" t="s">
        <v>66</v>
      </c>
      <c r="D3" s="4" t="s">
        <v>67</v>
      </c>
      <c r="E3" s="4" t="s">
        <v>68</v>
      </c>
      <c r="F3" s="4" t="s">
        <v>69</v>
      </c>
      <c r="G3" s="4" t="s">
        <v>70</v>
      </c>
      <c r="H3" s="4" t="s">
        <v>71</v>
      </c>
      <c r="I3" s="4" t="s">
        <v>72</v>
      </c>
      <c r="J3" s="4" t="s">
        <v>73</v>
      </c>
      <c r="K3" s="4" t="s">
        <v>74</v>
      </c>
    </row>
    <row r="4" spans="1:24">
      <c r="A4" s="5"/>
      <c r="B4" s="5"/>
      <c r="C4" s="5"/>
      <c r="D4" s="5"/>
      <c r="E4" s="5"/>
      <c r="F4" s="5"/>
      <c r="G4" s="5"/>
      <c r="H4" s="5"/>
      <c r="I4" s="5"/>
      <c r="J4" s="5"/>
      <c r="K4" s="6"/>
    </row>
    <row r="5" spans="1:24">
      <c r="C5" s="5"/>
      <c r="D5" s="5"/>
      <c r="E5" s="5"/>
      <c r="F5" s="5"/>
      <c r="G5" s="5"/>
      <c r="H5" s="5" t="s">
        <v>75</v>
      </c>
      <c r="I5" s="5">
        <v>51.1</v>
      </c>
      <c r="K5" s="6"/>
    </row>
    <row r="6" spans="1:24">
      <c r="A6" t="s">
        <v>76</v>
      </c>
      <c r="B6" t="s">
        <v>77</v>
      </c>
      <c r="C6" s="5">
        <v>10</v>
      </c>
      <c r="D6" s="5">
        <v>1</v>
      </c>
      <c r="E6" s="5">
        <v>500</v>
      </c>
      <c r="F6" s="5">
        <v>10</v>
      </c>
      <c r="G6" s="5">
        <f t="shared" ref="G6:G11" si="0">E6+F6</f>
        <v>510</v>
      </c>
      <c r="H6" s="5" t="s">
        <v>75</v>
      </c>
      <c r="I6" s="5">
        <v>51.1</v>
      </c>
      <c r="J6">
        <v>5651</v>
      </c>
      <c r="K6" s="6">
        <f t="shared" ref="K6:K36" si="1">((((J6)/((I6*D6)/1000))*C6)*(G6/E6))/100000</f>
        <v>11.279882583170254</v>
      </c>
      <c r="L6" t="s">
        <v>77</v>
      </c>
      <c r="P6">
        <v>0</v>
      </c>
      <c r="Q6">
        <v>6.25</v>
      </c>
      <c r="R6">
        <v>11</v>
      </c>
      <c r="S6">
        <v>21</v>
      </c>
      <c r="T6">
        <v>32</v>
      </c>
      <c r="V6" s="2" t="s">
        <v>424</v>
      </c>
      <c r="W6" s="8">
        <f>P7</f>
        <v>11.279882583170254</v>
      </c>
      <c r="X6">
        <f>W6*100000</f>
        <v>1127988.2583170254</v>
      </c>
    </row>
    <row r="7" spans="1:24">
      <c r="A7" t="s">
        <v>78</v>
      </c>
      <c r="B7" t="s">
        <v>79</v>
      </c>
      <c r="C7" s="5">
        <v>10</v>
      </c>
      <c r="D7" s="5">
        <v>1</v>
      </c>
      <c r="E7" s="5">
        <v>500</v>
      </c>
      <c r="F7" s="5">
        <v>10</v>
      </c>
      <c r="G7" s="5">
        <f t="shared" si="0"/>
        <v>510</v>
      </c>
      <c r="H7" s="5" t="s">
        <v>75</v>
      </c>
      <c r="I7" s="5">
        <v>51.1</v>
      </c>
      <c r="J7">
        <v>5658</v>
      </c>
      <c r="K7" s="6">
        <f t="shared" si="1"/>
        <v>11.29385518590998</v>
      </c>
      <c r="L7" t="s">
        <v>79</v>
      </c>
      <c r="O7" t="s">
        <v>281</v>
      </c>
      <c r="P7" s="8">
        <f t="shared" ref="P7:P12" si="2">K6</f>
        <v>11.279882583170254</v>
      </c>
      <c r="Q7" s="8">
        <f t="shared" ref="Q7:Q12" si="3">K12</f>
        <v>16.34195694716243</v>
      </c>
      <c r="R7" s="8">
        <f t="shared" ref="R7:R12" si="4">K18</f>
        <v>27.41225048923679</v>
      </c>
      <c r="S7" s="8">
        <f t="shared" ref="S7:S12" si="5">K24</f>
        <v>72.661526418786693</v>
      </c>
      <c r="T7" s="8">
        <f t="shared" ref="T7:T12" si="6">K31</f>
        <v>14.363835616438356</v>
      </c>
      <c r="W7" s="8">
        <f t="shared" ref="W7:W11" si="7">P8</f>
        <v>11.29385518590998</v>
      </c>
      <c r="X7">
        <f t="shared" ref="X7:X35" si="8">W7*100000</f>
        <v>1129385.5185909979</v>
      </c>
    </row>
    <row r="8" spans="1:24">
      <c r="A8" t="s">
        <v>80</v>
      </c>
      <c r="B8" t="s">
        <v>81</v>
      </c>
      <c r="C8" s="5">
        <v>10</v>
      </c>
      <c r="D8" s="5">
        <v>1</v>
      </c>
      <c r="E8" s="5">
        <v>500</v>
      </c>
      <c r="F8" s="5">
        <v>10</v>
      </c>
      <c r="G8" s="5">
        <f t="shared" si="0"/>
        <v>510</v>
      </c>
      <c r="H8" s="5" t="s">
        <v>75</v>
      </c>
      <c r="I8" s="5">
        <v>51.1</v>
      </c>
      <c r="J8">
        <v>5651</v>
      </c>
      <c r="K8" s="6">
        <f t="shared" si="1"/>
        <v>11.279882583170254</v>
      </c>
      <c r="L8" t="s">
        <v>81</v>
      </c>
      <c r="O8" t="s">
        <v>282</v>
      </c>
      <c r="P8" s="8">
        <f t="shared" si="2"/>
        <v>11.29385518590998</v>
      </c>
      <c r="Q8" s="8">
        <f t="shared" si="3"/>
        <v>16.34195694716243</v>
      </c>
      <c r="R8" s="8">
        <f t="shared" si="4"/>
        <v>27.040978473581216</v>
      </c>
      <c r="S8" s="8">
        <f t="shared" si="5"/>
        <v>70.370019569471623</v>
      </c>
      <c r="T8" s="8">
        <f t="shared" si="6"/>
        <v>13.745048923679061</v>
      </c>
      <c r="W8" s="8">
        <f t="shared" si="7"/>
        <v>11.279882583170254</v>
      </c>
      <c r="X8">
        <f t="shared" si="8"/>
        <v>1127988.2583170254</v>
      </c>
    </row>
    <row r="9" spans="1:24">
      <c r="A9" t="s">
        <v>82</v>
      </c>
      <c r="B9" t="s">
        <v>83</v>
      </c>
      <c r="C9" s="5">
        <v>10</v>
      </c>
      <c r="D9" s="5">
        <v>1</v>
      </c>
      <c r="E9" s="5">
        <v>500</v>
      </c>
      <c r="F9" s="5">
        <v>10</v>
      </c>
      <c r="G9" s="5">
        <f t="shared" si="0"/>
        <v>510</v>
      </c>
      <c r="H9" s="5" t="s">
        <v>75</v>
      </c>
      <c r="I9" s="5">
        <v>51.1</v>
      </c>
      <c r="J9">
        <v>5794</v>
      </c>
      <c r="K9" s="6">
        <f t="shared" si="1"/>
        <v>11.565322896281799</v>
      </c>
      <c r="L9" t="s">
        <v>83</v>
      </c>
      <c r="O9" t="s">
        <v>283</v>
      </c>
      <c r="P9" s="8">
        <f t="shared" si="2"/>
        <v>11.279882583170254</v>
      </c>
      <c r="Q9" s="8">
        <f t="shared" si="3"/>
        <v>16.046536203522507</v>
      </c>
      <c r="R9" s="8">
        <f t="shared" si="4"/>
        <v>27.034990215264191</v>
      </c>
      <c r="S9" s="8">
        <f t="shared" si="5"/>
        <v>70.603561643835619</v>
      </c>
      <c r="T9" s="8">
        <f t="shared" si="6"/>
        <v>14.270019569471625</v>
      </c>
      <c r="W9" s="8">
        <f t="shared" si="7"/>
        <v>11.565322896281799</v>
      </c>
      <c r="X9">
        <f t="shared" si="8"/>
        <v>1156532.28962818</v>
      </c>
    </row>
    <row r="10" spans="1:24">
      <c r="A10" t="s">
        <v>84</v>
      </c>
      <c r="B10" t="s">
        <v>85</v>
      </c>
      <c r="C10" s="5">
        <v>10</v>
      </c>
      <c r="D10" s="5">
        <v>1</v>
      </c>
      <c r="E10" s="5">
        <v>500</v>
      </c>
      <c r="F10" s="5">
        <v>10</v>
      </c>
      <c r="G10" s="5">
        <f t="shared" si="0"/>
        <v>510</v>
      </c>
      <c r="H10" s="5" t="s">
        <v>75</v>
      </c>
      <c r="I10" s="5">
        <v>51.1</v>
      </c>
      <c r="J10">
        <v>5820</v>
      </c>
      <c r="K10" s="6">
        <f t="shared" si="1"/>
        <v>11.617221135029355</v>
      </c>
      <c r="L10" t="s">
        <v>85</v>
      </c>
      <c r="O10" t="s">
        <v>286</v>
      </c>
      <c r="P10" s="8">
        <f t="shared" si="2"/>
        <v>11.565322896281799</v>
      </c>
      <c r="Q10" s="8">
        <f t="shared" si="3"/>
        <v>14.68720156555773</v>
      </c>
      <c r="R10" s="8">
        <f t="shared" si="4"/>
        <v>20.453894324853231</v>
      </c>
      <c r="S10" s="8">
        <f t="shared" si="5"/>
        <v>31.947358121330719</v>
      </c>
      <c r="T10" s="8">
        <f t="shared" si="6"/>
        <v>30.134911937377691</v>
      </c>
      <c r="W10" s="8">
        <f t="shared" si="7"/>
        <v>11.617221135029355</v>
      </c>
      <c r="X10">
        <f t="shared" si="8"/>
        <v>1161722.1135029355</v>
      </c>
    </row>
    <row r="11" spans="1:24">
      <c r="A11" t="s">
        <v>86</v>
      </c>
      <c r="B11" t="s">
        <v>87</v>
      </c>
      <c r="C11" s="5">
        <v>10</v>
      </c>
      <c r="D11" s="5">
        <v>1</v>
      </c>
      <c r="E11" s="5">
        <v>500</v>
      </c>
      <c r="F11" s="5">
        <v>10</v>
      </c>
      <c r="G11" s="5">
        <f t="shared" si="0"/>
        <v>510</v>
      </c>
      <c r="H11" s="5" t="s">
        <v>75</v>
      </c>
      <c r="I11" s="5">
        <v>51.1</v>
      </c>
      <c r="J11">
        <v>5765</v>
      </c>
      <c r="K11" s="6">
        <f t="shared" si="1"/>
        <v>11.50743639921722</v>
      </c>
      <c r="L11" t="s">
        <v>87</v>
      </c>
      <c r="O11" t="s">
        <v>284</v>
      </c>
      <c r="P11" s="8">
        <f t="shared" si="2"/>
        <v>11.617221135029355</v>
      </c>
      <c r="Q11" s="8">
        <f t="shared" si="3"/>
        <v>14.214129158512719</v>
      </c>
      <c r="R11" s="8">
        <f t="shared" si="4"/>
        <v>20.090606653620352</v>
      </c>
      <c r="S11" s="8">
        <f t="shared" si="5"/>
        <v>33.618082191780822</v>
      </c>
      <c r="T11" s="8">
        <f t="shared" si="6"/>
        <v>36.336751467710371</v>
      </c>
      <c r="W11" s="8">
        <f t="shared" si="7"/>
        <v>11.50743639921722</v>
      </c>
      <c r="X11">
        <f t="shared" si="8"/>
        <v>1150743.639921722</v>
      </c>
    </row>
    <row r="12" spans="1:24">
      <c r="A12" t="s">
        <v>88</v>
      </c>
      <c r="B12" t="s">
        <v>89</v>
      </c>
      <c r="C12" s="5">
        <v>10</v>
      </c>
      <c r="D12" s="5">
        <v>1</v>
      </c>
      <c r="E12" s="5">
        <v>500</v>
      </c>
      <c r="F12" s="5">
        <v>10</v>
      </c>
      <c r="G12" s="5">
        <f t="shared" ref="G12:G36" si="9">E12+F12</f>
        <v>510</v>
      </c>
      <c r="H12" s="5" t="s">
        <v>75</v>
      </c>
      <c r="I12" s="5">
        <v>51.1</v>
      </c>
      <c r="J12">
        <v>8187</v>
      </c>
      <c r="K12" s="6">
        <f t="shared" si="1"/>
        <v>16.34195694716243</v>
      </c>
      <c r="L12" t="s">
        <v>89</v>
      </c>
      <c r="O12" t="s">
        <v>285</v>
      </c>
      <c r="P12" s="8">
        <f t="shared" si="2"/>
        <v>11.50743639921722</v>
      </c>
      <c r="Q12" s="8">
        <f t="shared" si="3"/>
        <v>14.539491193737769</v>
      </c>
      <c r="R12" s="8">
        <f t="shared" si="4"/>
        <v>20.270254403131116</v>
      </c>
      <c r="S12" s="8">
        <f t="shared" si="5"/>
        <v>32.288688845401175</v>
      </c>
      <c r="T12" s="8">
        <f t="shared" si="6"/>
        <v>35.342700587084146</v>
      </c>
      <c r="W12" s="8">
        <f>Q7</f>
        <v>16.34195694716243</v>
      </c>
      <c r="X12">
        <f t="shared" si="8"/>
        <v>1634195.6947162431</v>
      </c>
    </row>
    <row r="13" spans="1:24">
      <c r="A13" t="s">
        <v>90</v>
      </c>
      <c r="B13" t="s">
        <v>91</v>
      </c>
      <c r="C13" s="5">
        <v>10</v>
      </c>
      <c r="D13" s="5">
        <v>1</v>
      </c>
      <c r="E13" s="5">
        <v>500</v>
      </c>
      <c r="F13" s="5">
        <v>10</v>
      </c>
      <c r="G13" s="5">
        <f t="shared" si="9"/>
        <v>510</v>
      </c>
      <c r="H13" s="5" t="s">
        <v>75</v>
      </c>
      <c r="I13" s="5">
        <v>51.1</v>
      </c>
      <c r="J13">
        <v>8187</v>
      </c>
      <c r="K13" s="6">
        <f t="shared" si="1"/>
        <v>16.34195694716243</v>
      </c>
      <c r="L13" t="s">
        <v>91</v>
      </c>
      <c r="W13" s="8">
        <f t="shared" ref="W13:W17" si="10">Q8</f>
        <v>16.34195694716243</v>
      </c>
      <c r="X13">
        <f t="shared" si="8"/>
        <v>1634195.6947162431</v>
      </c>
    </row>
    <row r="14" spans="1:24">
      <c r="A14" t="s">
        <v>92</v>
      </c>
      <c r="B14" t="s">
        <v>93</v>
      </c>
      <c r="C14" s="5">
        <v>10</v>
      </c>
      <c r="D14" s="5">
        <v>1</v>
      </c>
      <c r="E14" s="5">
        <v>500</v>
      </c>
      <c r="F14" s="5">
        <v>10</v>
      </c>
      <c r="G14" s="5">
        <f t="shared" si="9"/>
        <v>510</v>
      </c>
      <c r="H14" s="5" t="s">
        <v>75</v>
      </c>
      <c r="I14" s="5">
        <v>51.1</v>
      </c>
      <c r="J14">
        <v>8039</v>
      </c>
      <c r="K14" s="6">
        <f t="shared" si="1"/>
        <v>16.046536203522507</v>
      </c>
      <c r="L14" t="s">
        <v>93</v>
      </c>
      <c r="P14" s="9">
        <f>P6</f>
        <v>0</v>
      </c>
      <c r="Q14" s="8">
        <f>Q6</f>
        <v>6.25</v>
      </c>
      <c r="R14" s="9">
        <f>R6</f>
        <v>11</v>
      </c>
      <c r="S14" s="9">
        <f>S6</f>
        <v>21</v>
      </c>
      <c r="T14" s="9">
        <f>T6</f>
        <v>32</v>
      </c>
      <c r="W14" s="8">
        <f t="shared" si="10"/>
        <v>16.046536203522507</v>
      </c>
      <c r="X14">
        <f t="shared" si="8"/>
        <v>1604653.6203522508</v>
      </c>
    </row>
    <row r="15" spans="1:24">
      <c r="A15" t="s">
        <v>94</v>
      </c>
      <c r="B15" t="s">
        <v>95</v>
      </c>
      <c r="C15" s="5">
        <v>10</v>
      </c>
      <c r="D15" s="5">
        <v>1</v>
      </c>
      <c r="E15" s="5">
        <v>500</v>
      </c>
      <c r="F15" s="5">
        <v>10</v>
      </c>
      <c r="G15" s="5">
        <f t="shared" si="9"/>
        <v>510</v>
      </c>
      <c r="H15" s="5" t="s">
        <v>75</v>
      </c>
      <c r="I15" s="5">
        <v>51.1</v>
      </c>
      <c r="J15">
        <v>7358</v>
      </c>
      <c r="K15" s="6">
        <f t="shared" si="1"/>
        <v>14.68720156555773</v>
      </c>
      <c r="L15" t="s">
        <v>95</v>
      </c>
      <c r="N15" t="s">
        <v>287</v>
      </c>
      <c r="O15" t="s">
        <v>13</v>
      </c>
      <c r="P15" s="8">
        <f>AVERAGE(P7:P9)</f>
        <v>11.28454011741683</v>
      </c>
      <c r="Q15" s="8">
        <f>AVERAGE(Q7:Q9)</f>
        <v>16.243483365949121</v>
      </c>
      <c r="R15" s="8">
        <f>AVERAGE(R7:R9)</f>
        <v>27.162739726027397</v>
      </c>
      <c r="S15" s="8">
        <f>AVERAGE(S7:S9)</f>
        <v>71.211702544031311</v>
      </c>
      <c r="T15" s="8">
        <f>AVERAGE(T7:T9)</f>
        <v>14.126301369863015</v>
      </c>
      <c r="W15" s="8">
        <f t="shared" si="10"/>
        <v>14.68720156555773</v>
      </c>
      <c r="X15">
        <f t="shared" si="8"/>
        <v>1468720.156555773</v>
      </c>
    </row>
    <row r="16" spans="1:24">
      <c r="A16" t="s">
        <v>96</v>
      </c>
      <c r="B16" t="s">
        <v>97</v>
      </c>
      <c r="C16" s="5">
        <v>10</v>
      </c>
      <c r="D16" s="5">
        <v>1</v>
      </c>
      <c r="E16" s="5">
        <v>500</v>
      </c>
      <c r="F16" s="5">
        <v>10</v>
      </c>
      <c r="G16" s="5">
        <f t="shared" si="9"/>
        <v>510</v>
      </c>
      <c r="H16" s="5" t="s">
        <v>75</v>
      </c>
      <c r="I16" s="5">
        <v>51.1</v>
      </c>
      <c r="J16">
        <v>7121</v>
      </c>
      <c r="K16" s="6">
        <f t="shared" si="1"/>
        <v>14.214129158512719</v>
      </c>
      <c r="L16" t="s">
        <v>97</v>
      </c>
      <c r="O16" t="s">
        <v>14</v>
      </c>
      <c r="P16" s="8">
        <f>AVERAGE(P10:P12)</f>
        <v>11.563326810176124</v>
      </c>
      <c r="Q16" s="8">
        <f>AVERAGE(Q10:Q12)</f>
        <v>14.480273972602738</v>
      </c>
      <c r="R16" s="8">
        <f>AVERAGE(R10:R12)</f>
        <v>20.271585127201565</v>
      </c>
      <c r="S16" s="8">
        <f>AVERAGE(S10:S12)</f>
        <v>32.618043052837571</v>
      </c>
      <c r="T16" s="8">
        <f>AVERAGE(T10:T12)</f>
        <v>33.938121330724073</v>
      </c>
      <c r="W16" s="8">
        <f t="shared" si="10"/>
        <v>14.214129158512719</v>
      </c>
      <c r="X16">
        <f t="shared" si="8"/>
        <v>1421412.9158512719</v>
      </c>
    </row>
    <row r="17" spans="1:24">
      <c r="A17" t="s">
        <v>98</v>
      </c>
      <c r="B17" t="s">
        <v>99</v>
      </c>
      <c r="C17" s="5">
        <v>10</v>
      </c>
      <c r="D17" s="5">
        <v>1</v>
      </c>
      <c r="E17" s="5">
        <v>500</v>
      </c>
      <c r="F17" s="5">
        <v>10</v>
      </c>
      <c r="G17" s="5">
        <f t="shared" si="9"/>
        <v>510</v>
      </c>
      <c r="H17" s="5" t="s">
        <v>75</v>
      </c>
      <c r="I17" s="5">
        <v>51.1</v>
      </c>
      <c r="J17">
        <v>7284</v>
      </c>
      <c r="K17" s="6">
        <f t="shared" si="1"/>
        <v>14.539491193737769</v>
      </c>
      <c r="L17" t="s">
        <v>99</v>
      </c>
      <c r="W17" s="8">
        <f t="shared" si="10"/>
        <v>14.539491193737769</v>
      </c>
      <c r="X17">
        <f t="shared" si="8"/>
        <v>1453949.1193737769</v>
      </c>
    </row>
    <row r="18" spans="1:24">
      <c r="A18" t="s">
        <v>100</v>
      </c>
      <c r="B18" t="s">
        <v>101</v>
      </c>
      <c r="C18" s="5">
        <v>10</v>
      </c>
      <c r="D18" s="5">
        <v>1</v>
      </c>
      <c r="E18" s="5">
        <v>500</v>
      </c>
      <c r="F18" s="5">
        <v>10</v>
      </c>
      <c r="G18" s="5">
        <f t="shared" si="9"/>
        <v>510</v>
      </c>
      <c r="H18" s="5" t="s">
        <v>75</v>
      </c>
      <c r="I18" s="5">
        <v>51.1</v>
      </c>
      <c r="J18">
        <v>13733</v>
      </c>
      <c r="K18" s="6">
        <f t="shared" si="1"/>
        <v>27.41225048923679</v>
      </c>
      <c r="L18" t="s">
        <v>101</v>
      </c>
      <c r="N18" t="s">
        <v>12</v>
      </c>
      <c r="O18" t="s">
        <v>13</v>
      </c>
      <c r="P18">
        <f>STDEV(P7:P9)</f>
        <v>8.0670859530602539E-3</v>
      </c>
      <c r="Q18">
        <f>STDEV(Q7:Q9)</f>
        <v>0.17056124586470897</v>
      </c>
      <c r="R18">
        <f>STDEV(R7:R9)</f>
        <v>0.21610340239667084</v>
      </c>
      <c r="S18">
        <f>STDEV(S7:S9)</f>
        <v>1.261002547968318</v>
      </c>
      <c r="T18">
        <f>STDEV(T7:T9)</f>
        <v>0.33348978014033959</v>
      </c>
      <c r="W18" s="8">
        <f>R7</f>
        <v>27.41225048923679</v>
      </c>
      <c r="X18">
        <f t="shared" si="8"/>
        <v>2741225.0489236792</v>
      </c>
    </row>
    <row r="19" spans="1:24">
      <c r="A19" t="s">
        <v>102</v>
      </c>
      <c r="B19" t="s">
        <v>103</v>
      </c>
      <c r="C19" s="5">
        <v>10</v>
      </c>
      <c r="D19" s="5">
        <v>1</v>
      </c>
      <c r="E19" s="5">
        <v>500</v>
      </c>
      <c r="F19" s="5">
        <v>10</v>
      </c>
      <c r="G19" s="5">
        <f t="shared" si="9"/>
        <v>510</v>
      </c>
      <c r="H19" s="5" t="s">
        <v>75</v>
      </c>
      <c r="I19" s="5">
        <v>51.1</v>
      </c>
      <c r="J19">
        <v>13547</v>
      </c>
      <c r="K19" s="6">
        <f t="shared" si="1"/>
        <v>27.040978473581216</v>
      </c>
      <c r="L19" t="s">
        <v>103</v>
      </c>
      <c r="O19" t="s">
        <v>14</v>
      </c>
      <c r="P19">
        <f>STDEV(P10:P12)</f>
        <v>5.4919580516798142E-2</v>
      </c>
      <c r="Q19">
        <f>STDEV(Q10:Q12)</f>
        <v>0.24203178517718785</v>
      </c>
      <c r="R19">
        <f>STDEV(R10:R12)</f>
        <v>0.1816474914150091</v>
      </c>
      <c r="S19">
        <f>STDEV(S10:S12)</f>
        <v>0.88271477576983071</v>
      </c>
      <c r="T19">
        <f>STDEV(T10:T12)</f>
        <v>3.3309661594719091</v>
      </c>
      <c r="W19" s="8">
        <f t="shared" ref="W19:W23" si="11">R8</f>
        <v>27.040978473581216</v>
      </c>
      <c r="X19">
        <f t="shared" si="8"/>
        <v>2704097.8473581215</v>
      </c>
    </row>
    <row r="20" spans="1:24">
      <c r="A20" t="s">
        <v>104</v>
      </c>
      <c r="B20" t="s">
        <v>105</v>
      </c>
      <c r="C20" s="5">
        <v>10</v>
      </c>
      <c r="D20" s="5">
        <v>1</v>
      </c>
      <c r="E20" s="5">
        <v>500</v>
      </c>
      <c r="F20" s="5">
        <v>10</v>
      </c>
      <c r="G20" s="5">
        <f t="shared" si="9"/>
        <v>510</v>
      </c>
      <c r="H20" s="5" t="s">
        <v>75</v>
      </c>
      <c r="I20" s="5">
        <v>51.1</v>
      </c>
      <c r="J20">
        <v>13544</v>
      </c>
      <c r="K20" s="6">
        <f t="shared" si="1"/>
        <v>27.034990215264191</v>
      </c>
      <c r="L20" t="s">
        <v>105</v>
      </c>
      <c r="W20" s="8">
        <f t="shared" si="11"/>
        <v>27.034990215264191</v>
      </c>
      <c r="X20">
        <f t="shared" si="8"/>
        <v>2703499.0215264191</v>
      </c>
    </row>
    <row r="21" spans="1:24">
      <c r="A21" t="s">
        <v>106</v>
      </c>
      <c r="B21" t="s">
        <v>107</v>
      </c>
      <c r="C21" s="5">
        <v>10</v>
      </c>
      <c r="D21" s="5">
        <v>1</v>
      </c>
      <c r="E21" s="5">
        <v>500</v>
      </c>
      <c r="F21" s="5">
        <v>10</v>
      </c>
      <c r="G21" s="5">
        <f t="shared" si="9"/>
        <v>510</v>
      </c>
      <c r="H21" s="5" t="s">
        <v>75</v>
      </c>
      <c r="I21" s="5">
        <v>51.1</v>
      </c>
      <c r="J21">
        <v>10247</v>
      </c>
      <c r="K21" s="6">
        <f t="shared" si="1"/>
        <v>20.453894324853231</v>
      </c>
      <c r="L21" t="s">
        <v>107</v>
      </c>
      <c r="W21" s="8">
        <f t="shared" si="11"/>
        <v>20.453894324853231</v>
      </c>
      <c r="X21">
        <f t="shared" si="8"/>
        <v>2045389.4324853232</v>
      </c>
    </row>
    <row r="22" spans="1:24">
      <c r="A22" t="s">
        <v>108</v>
      </c>
      <c r="B22" t="s">
        <v>109</v>
      </c>
      <c r="C22" s="5">
        <v>10</v>
      </c>
      <c r="D22" s="5">
        <v>1</v>
      </c>
      <c r="E22" s="5">
        <v>500</v>
      </c>
      <c r="F22" s="5">
        <v>10</v>
      </c>
      <c r="G22" s="5">
        <f t="shared" si="9"/>
        <v>510</v>
      </c>
      <c r="H22" s="5" t="s">
        <v>75</v>
      </c>
      <c r="I22" s="5">
        <v>51.1</v>
      </c>
      <c r="J22">
        <v>10065</v>
      </c>
      <c r="K22" s="6">
        <f t="shared" si="1"/>
        <v>20.090606653620352</v>
      </c>
      <c r="L22" t="s">
        <v>109</v>
      </c>
      <c r="W22" s="8">
        <f t="shared" si="11"/>
        <v>20.090606653620352</v>
      </c>
      <c r="X22">
        <f t="shared" si="8"/>
        <v>2009060.6653620352</v>
      </c>
    </row>
    <row r="23" spans="1:24">
      <c r="A23" t="s">
        <v>110</v>
      </c>
      <c r="B23" t="s">
        <v>111</v>
      </c>
      <c r="C23" s="5">
        <v>10</v>
      </c>
      <c r="D23" s="5">
        <v>1</v>
      </c>
      <c r="E23" s="5">
        <v>500</v>
      </c>
      <c r="F23" s="5">
        <v>10</v>
      </c>
      <c r="G23" s="5">
        <f t="shared" si="9"/>
        <v>510</v>
      </c>
      <c r="H23" s="5" t="s">
        <v>75</v>
      </c>
      <c r="I23" s="5">
        <v>51.1</v>
      </c>
      <c r="J23">
        <v>10155</v>
      </c>
      <c r="K23" s="6">
        <f t="shared" si="1"/>
        <v>20.270254403131116</v>
      </c>
      <c r="L23" t="s">
        <v>111</v>
      </c>
      <c r="W23" s="8">
        <f t="shared" si="11"/>
        <v>20.270254403131116</v>
      </c>
      <c r="X23">
        <f t="shared" si="8"/>
        <v>2027025.4403131115</v>
      </c>
    </row>
    <row r="24" spans="1:24">
      <c r="A24" t="s">
        <v>112</v>
      </c>
      <c r="B24" t="s">
        <v>113</v>
      </c>
      <c r="C24" s="5">
        <v>10</v>
      </c>
      <c r="D24" s="5">
        <v>1</v>
      </c>
      <c r="E24" s="5">
        <v>500</v>
      </c>
      <c r="F24" s="5">
        <v>10</v>
      </c>
      <c r="G24" s="5">
        <f t="shared" si="9"/>
        <v>510</v>
      </c>
      <c r="H24" s="5" t="s">
        <v>75</v>
      </c>
      <c r="I24" s="5">
        <v>51.1</v>
      </c>
      <c r="J24">
        <v>36402</v>
      </c>
      <c r="K24" s="6">
        <f t="shared" si="1"/>
        <v>72.661526418786693</v>
      </c>
      <c r="L24" t="s">
        <v>113</v>
      </c>
      <c r="W24" s="8">
        <f>S7</f>
        <v>72.661526418786693</v>
      </c>
      <c r="X24">
        <f t="shared" si="8"/>
        <v>7266152.6418786692</v>
      </c>
    </row>
    <row r="25" spans="1:24">
      <c r="A25" t="s">
        <v>114</v>
      </c>
      <c r="B25" t="s">
        <v>115</v>
      </c>
      <c r="C25" s="5">
        <v>10</v>
      </c>
      <c r="D25" s="5">
        <v>1</v>
      </c>
      <c r="E25" s="5">
        <v>500</v>
      </c>
      <c r="F25" s="5">
        <v>10</v>
      </c>
      <c r="G25" s="5">
        <f t="shared" si="9"/>
        <v>510</v>
      </c>
      <c r="H25" s="5" t="s">
        <v>75</v>
      </c>
      <c r="I25" s="5">
        <v>51.1</v>
      </c>
      <c r="J25">
        <v>35254</v>
      </c>
      <c r="K25" s="6">
        <f t="shared" si="1"/>
        <v>70.370019569471623</v>
      </c>
      <c r="L25" t="s">
        <v>115</v>
      </c>
      <c r="W25" s="8">
        <f t="shared" ref="W25:W29" si="12">S8</f>
        <v>70.370019569471623</v>
      </c>
      <c r="X25">
        <f t="shared" si="8"/>
        <v>7037001.9569471627</v>
      </c>
    </row>
    <row r="26" spans="1:24">
      <c r="A26" t="s">
        <v>116</v>
      </c>
      <c r="B26" t="s">
        <v>117</v>
      </c>
      <c r="C26" s="5">
        <v>10</v>
      </c>
      <c r="D26" s="5">
        <v>1</v>
      </c>
      <c r="E26" s="5">
        <v>500</v>
      </c>
      <c r="F26" s="5">
        <v>10</v>
      </c>
      <c r="G26" s="5">
        <f t="shared" si="9"/>
        <v>510</v>
      </c>
      <c r="H26" s="5" t="s">
        <v>75</v>
      </c>
      <c r="I26" s="5">
        <v>51.1</v>
      </c>
      <c r="J26">
        <v>35371</v>
      </c>
      <c r="K26" s="6">
        <f t="shared" si="1"/>
        <v>70.603561643835619</v>
      </c>
      <c r="L26" t="s">
        <v>117</v>
      </c>
      <c r="W26" s="8">
        <f t="shared" si="12"/>
        <v>70.603561643835619</v>
      </c>
      <c r="X26">
        <f t="shared" si="8"/>
        <v>7060356.1643835623</v>
      </c>
    </row>
    <row r="27" spans="1:24">
      <c r="A27" t="s">
        <v>118</v>
      </c>
      <c r="B27" t="s">
        <v>119</v>
      </c>
      <c r="C27" s="5">
        <v>10</v>
      </c>
      <c r="D27" s="5">
        <v>1</v>
      </c>
      <c r="E27" s="5">
        <v>500</v>
      </c>
      <c r="F27" s="5">
        <v>10</v>
      </c>
      <c r="G27" s="5">
        <f t="shared" si="9"/>
        <v>510</v>
      </c>
      <c r="H27" s="5" t="s">
        <v>75</v>
      </c>
      <c r="I27" s="5">
        <v>51.1</v>
      </c>
      <c r="J27">
        <v>16005</v>
      </c>
      <c r="K27" s="6">
        <f t="shared" si="1"/>
        <v>31.947358121330719</v>
      </c>
      <c r="L27" t="s">
        <v>119</v>
      </c>
      <c r="W27" s="8">
        <f t="shared" si="12"/>
        <v>31.947358121330719</v>
      </c>
      <c r="X27">
        <f t="shared" si="8"/>
        <v>3194735.8121330719</v>
      </c>
    </row>
    <row r="28" spans="1:24">
      <c r="A28" t="s">
        <v>120</v>
      </c>
      <c r="B28" t="s">
        <v>121</v>
      </c>
      <c r="C28" s="5">
        <v>10</v>
      </c>
      <c r="D28" s="5">
        <v>1</v>
      </c>
      <c r="E28" s="5">
        <v>500</v>
      </c>
      <c r="F28" s="5">
        <v>10</v>
      </c>
      <c r="G28" s="5">
        <f t="shared" si="9"/>
        <v>510</v>
      </c>
      <c r="H28" s="5" t="s">
        <v>75</v>
      </c>
      <c r="I28" s="5">
        <v>51.1</v>
      </c>
      <c r="J28">
        <v>16842</v>
      </c>
      <c r="K28" s="6">
        <f t="shared" si="1"/>
        <v>33.618082191780822</v>
      </c>
      <c r="L28" t="s">
        <v>121</v>
      </c>
      <c r="W28" s="8">
        <f t="shared" si="12"/>
        <v>33.618082191780822</v>
      </c>
      <c r="X28">
        <f t="shared" si="8"/>
        <v>3361808.219178082</v>
      </c>
    </row>
    <row r="29" spans="1:24">
      <c r="A29" t="s">
        <v>122</v>
      </c>
      <c r="B29" t="s">
        <v>123</v>
      </c>
      <c r="C29" s="5">
        <v>10</v>
      </c>
      <c r="D29" s="5">
        <v>1</v>
      </c>
      <c r="E29" s="5">
        <v>500</v>
      </c>
      <c r="F29" s="5">
        <v>10</v>
      </c>
      <c r="G29" s="5">
        <f t="shared" si="9"/>
        <v>510</v>
      </c>
      <c r="H29" s="5" t="s">
        <v>75</v>
      </c>
      <c r="I29" s="5">
        <v>51.1</v>
      </c>
      <c r="J29">
        <v>16176</v>
      </c>
      <c r="K29" s="6">
        <f t="shared" si="1"/>
        <v>32.288688845401175</v>
      </c>
      <c r="L29" t="s">
        <v>123</v>
      </c>
      <c r="W29" s="8">
        <f t="shared" si="12"/>
        <v>32.288688845401175</v>
      </c>
      <c r="X29">
        <f t="shared" si="8"/>
        <v>3228868.8845401173</v>
      </c>
    </row>
    <row r="30" spans="1:24">
      <c r="A30" t="s">
        <v>124</v>
      </c>
      <c r="B30" t="s">
        <v>125</v>
      </c>
      <c r="C30" s="5">
        <v>10</v>
      </c>
      <c r="D30" s="5">
        <v>1</v>
      </c>
      <c r="E30" s="5">
        <v>500</v>
      </c>
      <c r="F30" s="5">
        <v>10</v>
      </c>
      <c r="G30" s="5">
        <f t="shared" si="9"/>
        <v>510</v>
      </c>
      <c r="H30" s="5" t="s">
        <v>75</v>
      </c>
      <c r="I30" s="5">
        <v>51.1</v>
      </c>
      <c r="J30">
        <v>64322</v>
      </c>
      <c r="K30" s="6">
        <f t="shared" si="1"/>
        <v>128.3922504892368</v>
      </c>
      <c r="L30" t="s">
        <v>125</v>
      </c>
      <c r="W30" s="8">
        <f>T7</f>
        <v>14.363835616438356</v>
      </c>
      <c r="X30">
        <f t="shared" si="8"/>
        <v>1436383.5616438356</v>
      </c>
    </row>
    <row r="31" spans="1:24">
      <c r="A31" t="s">
        <v>126</v>
      </c>
      <c r="B31" t="s">
        <v>125</v>
      </c>
      <c r="C31" s="5">
        <v>10</v>
      </c>
      <c r="D31" s="5">
        <v>1</v>
      </c>
      <c r="E31" s="5">
        <v>500</v>
      </c>
      <c r="F31" s="5">
        <v>10</v>
      </c>
      <c r="G31" s="5">
        <f t="shared" si="9"/>
        <v>510</v>
      </c>
      <c r="H31" s="5" t="s">
        <v>75</v>
      </c>
      <c r="I31" s="5">
        <v>51.1</v>
      </c>
      <c r="J31">
        <v>7196</v>
      </c>
      <c r="K31" s="6">
        <f t="shared" si="1"/>
        <v>14.363835616438356</v>
      </c>
      <c r="L31" t="s">
        <v>125</v>
      </c>
      <c r="W31" s="8">
        <f t="shared" ref="W31:W35" si="13">T8</f>
        <v>13.745048923679061</v>
      </c>
      <c r="X31">
        <f t="shared" si="8"/>
        <v>1374504.8923679062</v>
      </c>
    </row>
    <row r="32" spans="1:24">
      <c r="A32" t="s">
        <v>127</v>
      </c>
      <c r="B32" t="s">
        <v>128</v>
      </c>
      <c r="C32" s="5">
        <v>10</v>
      </c>
      <c r="D32" s="5">
        <v>1</v>
      </c>
      <c r="E32" s="5">
        <v>500</v>
      </c>
      <c r="F32" s="5">
        <v>10</v>
      </c>
      <c r="G32" s="5">
        <f t="shared" si="9"/>
        <v>510</v>
      </c>
      <c r="H32" s="5" t="s">
        <v>75</v>
      </c>
      <c r="I32" s="5">
        <v>51.1</v>
      </c>
      <c r="J32">
        <v>6886</v>
      </c>
      <c r="K32" s="6">
        <f t="shared" si="1"/>
        <v>13.745048923679061</v>
      </c>
      <c r="L32" t="s">
        <v>128</v>
      </c>
      <c r="W32" s="8">
        <f t="shared" si="13"/>
        <v>14.270019569471625</v>
      </c>
      <c r="X32">
        <f t="shared" si="8"/>
        <v>1427001.9569471625</v>
      </c>
    </row>
    <row r="33" spans="1:24">
      <c r="A33" t="s">
        <v>129</v>
      </c>
      <c r="B33" t="s">
        <v>130</v>
      </c>
      <c r="C33" s="5">
        <v>10</v>
      </c>
      <c r="D33" s="5">
        <v>1</v>
      </c>
      <c r="E33" s="5">
        <v>500</v>
      </c>
      <c r="F33" s="5">
        <v>10</v>
      </c>
      <c r="G33" s="5">
        <f t="shared" si="9"/>
        <v>510</v>
      </c>
      <c r="H33" s="5" t="s">
        <v>75</v>
      </c>
      <c r="I33" s="5">
        <v>51.1</v>
      </c>
      <c r="J33">
        <v>7149</v>
      </c>
      <c r="K33" s="6">
        <f t="shared" si="1"/>
        <v>14.270019569471625</v>
      </c>
      <c r="L33" t="s">
        <v>130</v>
      </c>
      <c r="W33" s="8">
        <f t="shared" si="13"/>
        <v>30.134911937377691</v>
      </c>
      <c r="X33">
        <f t="shared" si="8"/>
        <v>3013491.193737769</v>
      </c>
    </row>
    <row r="34" spans="1:24">
      <c r="A34" t="s">
        <v>131</v>
      </c>
      <c r="B34" t="s">
        <v>132</v>
      </c>
      <c r="C34" s="5">
        <v>10</v>
      </c>
      <c r="D34" s="5">
        <v>1</v>
      </c>
      <c r="E34" s="5">
        <v>500</v>
      </c>
      <c r="F34" s="5">
        <v>10</v>
      </c>
      <c r="G34" s="5">
        <f t="shared" si="9"/>
        <v>510</v>
      </c>
      <c r="H34" s="5" t="s">
        <v>75</v>
      </c>
      <c r="I34" s="5">
        <v>51.1</v>
      </c>
      <c r="J34">
        <v>15097</v>
      </c>
      <c r="K34" s="6">
        <f t="shared" si="1"/>
        <v>30.134911937377691</v>
      </c>
      <c r="L34" t="s">
        <v>132</v>
      </c>
      <c r="W34" s="8">
        <f t="shared" si="13"/>
        <v>36.336751467710371</v>
      </c>
      <c r="X34">
        <f t="shared" si="8"/>
        <v>3633675.146771037</v>
      </c>
    </row>
    <row r="35" spans="1:24">
      <c r="A35" t="s">
        <v>133</v>
      </c>
      <c r="B35" t="s">
        <v>134</v>
      </c>
      <c r="C35" s="5">
        <v>10</v>
      </c>
      <c r="D35" s="5">
        <v>1</v>
      </c>
      <c r="E35" s="5">
        <v>500</v>
      </c>
      <c r="F35" s="5">
        <v>10</v>
      </c>
      <c r="G35" s="5">
        <f t="shared" si="9"/>
        <v>510</v>
      </c>
      <c r="H35" s="5" t="s">
        <v>75</v>
      </c>
      <c r="I35" s="5">
        <v>51.1</v>
      </c>
      <c r="J35">
        <v>18204</v>
      </c>
      <c r="K35" s="6">
        <f t="shared" si="1"/>
        <v>36.336751467710371</v>
      </c>
      <c r="L35" t="s">
        <v>134</v>
      </c>
      <c r="W35" s="8">
        <f t="shared" si="13"/>
        <v>35.342700587084146</v>
      </c>
      <c r="X35">
        <f t="shared" si="8"/>
        <v>3534270.0587084144</v>
      </c>
    </row>
    <row r="36" spans="1:24">
      <c r="A36" t="s">
        <v>135</v>
      </c>
      <c r="B36" t="s">
        <v>136</v>
      </c>
      <c r="C36" s="5">
        <v>10</v>
      </c>
      <c r="D36" s="5">
        <v>1</v>
      </c>
      <c r="E36" s="5">
        <v>500</v>
      </c>
      <c r="F36" s="5">
        <v>10</v>
      </c>
      <c r="G36" s="5">
        <f t="shared" si="9"/>
        <v>510</v>
      </c>
      <c r="H36" s="5" t="s">
        <v>75</v>
      </c>
      <c r="I36" s="5">
        <v>51.1</v>
      </c>
      <c r="J36">
        <v>17706</v>
      </c>
      <c r="K36" s="6">
        <f t="shared" si="1"/>
        <v>35.342700587084146</v>
      </c>
      <c r="L36" t="s">
        <v>136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A3:V55"/>
  <sheetViews>
    <sheetView workbookViewId="0">
      <selection activeCell="O20" sqref="O20"/>
    </sheetView>
  </sheetViews>
  <sheetFormatPr defaultRowHeight="15"/>
  <sheetData>
    <row r="3" spans="1:22" ht="39.75">
      <c r="A3" s="4" t="s">
        <v>64</v>
      </c>
      <c r="B3" s="4" t="s">
        <v>65</v>
      </c>
      <c r="C3" s="4" t="s">
        <v>66</v>
      </c>
      <c r="D3" s="4" t="s">
        <v>67</v>
      </c>
      <c r="E3" s="4" t="s">
        <v>68</v>
      </c>
      <c r="F3" s="4" t="s">
        <v>69</v>
      </c>
      <c r="G3" s="4" t="s">
        <v>70</v>
      </c>
      <c r="H3" s="4" t="s">
        <v>71</v>
      </c>
      <c r="I3" s="4" t="s">
        <v>72</v>
      </c>
      <c r="J3" s="4" t="s">
        <v>193</v>
      </c>
      <c r="K3" s="4" t="s">
        <v>73</v>
      </c>
      <c r="L3" s="4" t="s">
        <v>288</v>
      </c>
    </row>
    <row r="4" spans="1:2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6"/>
    </row>
    <row r="5" spans="1:22">
      <c r="C5" s="5"/>
      <c r="D5" s="5"/>
      <c r="E5" s="5"/>
      <c r="F5" s="5"/>
      <c r="G5" s="5"/>
      <c r="H5" s="5" t="s">
        <v>75</v>
      </c>
      <c r="I5" s="5">
        <v>51.1</v>
      </c>
      <c r="J5" s="7"/>
      <c r="L5" s="6"/>
    </row>
    <row r="6" spans="1:22">
      <c r="A6" t="s">
        <v>138</v>
      </c>
      <c r="B6" t="s">
        <v>137</v>
      </c>
      <c r="C6" s="5"/>
      <c r="D6" s="5"/>
      <c r="E6" s="5"/>
      <c r="F6" s="5"/>
      <c r="G6" s="5"/>
      <c r="H6" s="5" t="s">
        <v>75</v>
      </c>
      <c r="I6" s="5">
        <v>51.1</v>
      </c>
      <c r="J6" s="7"/>
      <c r="K6">
        <v>225</v>
      </c>
      <c r="L6" s="6"/>
      <c r="M6" t="s">
        <v>137</v>
      </c>
    </row>
    <row r="7" spans="1:22">
      <c r="A7" t="s">
        <v>139</v>
      </c>
      <c r="B7" t="s">
        <v>140</v>
      </c>
      <c r="C7" s="5"/>
      <c r="D7" s="5"/>
      <c r="E7" s="5"/>
      <c r="F7" s="5"/>
      <c r="G7" s="5"/>
      <c r="H7" s="5" t="s">
        <v>75</v>
      </c>
      <c r="I7" s="5">
        <v>51.1</v>
      </c>
      <c r="J7" s="7"/>
      <c r="K7">
        <v>237</v>
      </c>
      <c r="L7" s="6"/>
      <c r="M7" t="s">
        <v>140</v>
      </c>
      <c r="R7">
        <v>0</v>
      </c>
      <c r="S7">
        <v>6.25</v>
      </c>
      <c r="T7">
        <v>11</v>
      </c>
      <c r="U7">
        <v>21</v>
      </c>
      <c r="V7">
        <v>32</v>
      </c>
    </row>
    <row r="8" spans="1:22">
      <c r="A8" t="s">
        <v>141</v>
      </c>
      <c r="B8" t="s">
        <v>142</v>
      </c>
      <c r="C8" s="5"/>
      <c r="D8" s="5"/>
      <c r="E8" s="5"/>
      <c r="F8" s="5"/>
      <c r="G8" s="5"/>
      <c r="H8" s="5" t="s">
        <v>75</v>
      </c>
      <c r="I8" s="5">
        <v>51.1</v>
      </c>
      <c r="J8" s="7">
        <f>AVERAGE(K6:K9)</f>
        <v>218.5</v>
      </c>
      <c r="K8">
        <v>200</v>
      </c>
      <c r="L8" s="6"/>
      <c r="M8" t="s">
        <v>142</v>
      </c>
      <c r="Q8" t="s">
        <v>281</v>
      </c>
      <c r="R8" s="8">
        <f>L10</f>
        <v>80.305870841487291</v>
      </c>
      <c r="S8" s="8">
        <f t="shared" ref="S8:S13" si="0">L21</f>
        <v>173.78522504892371</v>
      </c>
      <c r="T8" s="8">
        <f t="shared" ref="T8:T13" si="1">L31</f>
        <v>218.67191780821918</v>
      </c>
      <c r="U8" s="8">
        <f t="shared" ref="U8:U13" si="2">L40</f>
        <v>172.72778864970644</v>
      </c>
      <c r="V8" s="8">
        <f t="shared" ref="V8:V13" si="3">L50</f>
        <v>385.8160469667319</v>
      </c>
    </row>
    <row r="9" spans="1:22">
      <c r="A9" t="s">
        <v>143</v>
      </c>
      <c r="B9" t="s">
        <v>144</v>
      </c>
      <c r="C9" s="5"/>
      <c r="D9" s="5"/>
      <c r="E9" s="5"/>
      <c r="F9" s="5"/>
      <c r="G9" s="5"/>
      <c r="H9" s="5" t="s">
        <v>75</v>
      </c>
      <c r="I9" s="5">
        <v>51.1</v>
      </c>
      <c r="J9" s="7">
        <v>219</v>
      </c>
      <c r="K9">
        <v>212</v>
      </c>
      <c r="L9" s="6"/>
      <c r="M9" t="s">
        <v>144</v>
      </c>
      <c r="Q9" t="s">
        <v>282</v>
      </c>
      <c r="R9" s="8">
        <f>L15</f>
        <v>62.121917808219187</v>
      </c>
      <c r="S9" s="8">
        <f t="shared" si="0"/>
        <v>157.89403131115461</v>
      </c>
      <c r="T9" s="8">
        <f t="shared" si="1"/>
        <v>178.64745596868886</v>
      </c>
      <c r="U9" s="8">
        <f t="shared" si="2"/>
        <v>173.5381604696673</v>
      </c>
      <c r="V9" s="8">
        <f t="shared" si="3"/>
        <v>385.98405088062628</v>
      </c>
    </row>
    <row r="10" spans="1:22">
      <c r="A10" t="s">
        <v>145</v>
      </c>
      <c r="B10" t="s">
        <v>77</v>
      </c>
      <c r="C10" s="5">
        <v>500</v>
      </c>
      <c r="D10" s="5">
        <v>1</v>
      </c>
      <c r="E10" s="5">
        <v>500</v>
      </c>
      <c r="F10" s="5">
        <v>5</v>
      </c>
      <c r="G10" s="5">
        <f>E10+F10</f>
        <v>505</v>
      </c>
      <c r="H10" s="5" t="s">
        <v>75</v>
      </c>
      <c r="I10" s="5">
        <v>51.1</v>
      </c>
      <c r="J10" s="7">
        <v>219</v>
      </c>
      <c r="K10">
        <v>8345</v>
      </c>
      <c r="L10" s="6">
        <f>((((K10-J10)/((I10*D10)/1000))*C10)*(G10/E10))/1000000</f>
        <v>80.305870841487291</v>
      </c>
      <c r="M10" t="s">
        <v>77</v>
      </c>
      <c r="Q10" t="s">
        <v>283</v>
      </c>
      <c r="R10" s="8">
        <f>L16</f>
        <v>56.459197651663402</v>
      </c>
      <c r="S10" s="8">
        <f t="shared" si="0"/>
        <v>156.84647749510765</v>
      </c>
      <c r="T10" s="8">
        <f t="shared" si="1"/>
        <v>170.92915851272014</v>
      </c>
      <c r="U10" s="8">
        <f t="shared" si="2"/>
        <v>181.01927592954993</v>
      </c>
      <c r="V10" s="8">
        <f t="shared" si="3"/>
        <v>358.79706457925636</v>
      </c>
    </row>
    <row r="11" spans="1:22">
      <c r="A11" t="s">
        <v>146</v>
      </c>
      <c r="B11" t="s">
        <v>79</v>
      </c>
      <c r="C11" s="5">
        <v>500</v>
      </c>
      <c r="D11" s="5">
        <v>1</v>
      </c>
      <c r="E11" s="5">
        <v>500</v>
      </c>
      <c r="F11" s="5">
        <v>5</v>
      </c>
      <c r="G11" s="5">
        <f t="shared" ref="G11:G55" si="4">E11+F11</f>
        <v>505</v>
      </c>
      <c r="H11" s="5" t="s">
        <v>75</v>
      </c>
      <c r="I11" s="5">
        <v>51.1</v>
      </c>
      <c r="J11" s="7">
        <v>219</v>
      </c>
      <c r="K11">
        <v>7148</v>
      </c>
      <c r="L11" s="6">
        <f t="shared" ref="L11:L55" si="5">((((K11-J11)/((I11*D11)/1000))*C11)*(G11/E11))/1000000</f>
        <v>68.476418786692747</v>
      </c>
      <c r="M11" t="s">
        <v>79</v>
      </c>
      <c r="Q11" t="s">
        <v>286</v>
      </c>
      <c r="R11" s="8">
        <f>L12</f>
        <v>18.470547945205478</v>
      </c>
      <c r="S11" s="8">
        <f t="shared" si="0"/>
        <v>23.061996086105676</v>
      </c>
      <c r="T11" s="8">
        <f t="shared" si="1"/>
        <v>28.311624266144811</v>
      </c>
      <c r="U11" s="8">
        <f t="shared" si="2"/>
        <v>28.651585127201564</v>
      </c>
      <c r="V11" s="8">
        <f t="shared" si="3"/>
        <v>51.940880626223098</v>
      </c>
    </row>
    <row r="12" spans="1:22">
      <c r="A12" t="s">
        <v>147</v>
      </c>
      <c r="B12" t="s">
        <v>83</v>
      </c>
      <c r="C12" s="5">
        <v>500</v>
      </c>
      <c r="D12" s="5">
        <v>1</v>
      </c>
      <c r="E12" s="5">
        <v>500</v>
      </c>
      <c r="F12" s="5">
        <v>5</v>
      </c>
      <c r="G12" s="5">
        <f t="shared" si="4"/>
        <v>505</v>
      </c>
      <c r="H12" s="5" t="s">
        <v>75</v>
      </c>
      <c r="I12" s="5">
        <v>51.1</v>
      </c>
      <c r="J12" s="7">
        <v>219</v>
      </c>
      <c r="K12">
        <v>2088</v>
      </c>
      <c r="L12" s="6">
        <f t="shared" si="5"/>
        <v>18.470547945205478</v>
      </c>
      <c r="M12" t="s">
        <v>83</v>
      </c>
      <c r="Q12" t="s">
        <v>284</v>
      </c>
      <c r="R12" s="8">
        <f>L13</f>
        <v>15.357534246575343</v>
      </c>
      <c r="S12" s="8">
        <f t="shared" si="0"/>
        <v>9.5623874755381593</v>
      </c>
      <c r="T12" s="8">
        <f t="shared" si="1"/>
        <v>29.120019569471623</v>
      </c>
      <c r="U12" s="8">
        <f t="shared" si="2"/>
        <v>28.469745596868883</v>
      </c>
      <c r="V12" s="8">
        <f t="shared" si="3"/>
        <v>52.4231506849315</v>
      </c>
    </row>
    <row r="13" spans="1:22">
      <c r="A13" t="s">
        <v>148</v>
      </c>
      <c r="B13" t="s">
        <v>85</v>
      </c>
      <c r="C13" s="5">
        <v>500</v>
      </c>
      <c r="D13" s="5">
        <v>1</v>
      </c>
      <c r="E13" s="5">
        <v>500</v>
      </c>
      <c r="F13" s="5">
        <v>5</v>
      </c>
      <c r="G13" s="5">
        <f t="shared" si="4"/>
        <v>505</v>
      </c>
      <c r="H13" s="5" t="s">
        <v>75</v>
      </c>
      <c r="I13" s="5">
        <v>51.1</v>
      </c>
      <c r="J13" s="7">
        <v>219</v>
      </c>
      <c r="K13">
        <v>1773</v>
      </c>
      <c r="L13" s="6">
        <f t="shared" si="5"/>
        <v>15.357534246575343</v>
      </c>
      <c r="M13" t="s">
        <v>85</v>
      </c>
      <c r="Q13" t="s">
        <v>285</v>
      </c>
      <c r="R13" s="8">
        <f>L14</f>
        <v>13.835616438356166</v>
      </c>
      <c r="S13" s="8">
        <f t="shared" si="0"/>
        <v>24.253835616438359</v>
      </c>
      <c r="T13" s="8">
        <f t="shared" si="1"/>
        <v>28.924344422700589</v>
      </c>
      <c r="U13" s="8">
        <f t="shared" si="2"/>
        <v>27.281859099804304</v>
      </c>
      <c r="V13" s="8">
        <f t="shared" si="3"/>
        <v>51.948786692759292</v>
      </c>
    </row>
    <row r="14" spans="1:22">
      <c r="A14" t="s">
        <v>149</v>
      </c>
      <c r="B14" t="s">
        <v>87</v>
      </c>
      <c r="C14" s="5">
        <v>500</v>
      </c>
      <c r="D14" s="5">
        <v>1</v>
      </c>
      <c r="E14" s="5">
        <v>500</v>
      </c>
      <c r="F14" s="5">
        <v>5</v>
      </c>
      <c r="G14" s="5">
        <f t="shared" si="4"/>
        <v>505</v>
      </c>
      <c r="H14" s="5" t="s">
        <v>75</v>
      </c>
      <c r="I14" s="5">
        <v>51.1</v>
      </c>
      <c r="J14" s="7">
        <v>219</v>
      </c>
      <c r="K14">
        <v>1619</v>
      </c>
      <c r="L14" s="6">
        <f t="shared" si="5"/>
        <v>13.835616438356166</v>
      </c>
      <c r="M14" t="s">
        <v>87</v>
      </c>
    </row>
    <row r="15" spans="1:22">
      <c r="A15" t="s">
        <v>150</v>
      </c>
      <c r="B15" t="s">
        <v>79</v>
      </c>
      <c r="C15" s="5">
        <v>500</v>
      </c>
      <c r="D15" s="5">
        <v>1</v>
      </c>
      <c r="E15" s="5">
        <v>500</v>
      </c>
      <c r="F15" s="5">
        <v>5</v>
      </c>
      <c r="G15" s="5">
        <f t="shared" si="4"/>
        <v>505</v>
      </c>
      <c r="H15" s="5" t="s">
        <v>75</v>
      </c>
      <c r="I15" s="5">
        <v>51.1</v>
      </c>
      <c r="J15" s="7">
        <v>219</v>
      </c>
      <c r="K15">
        <v>6505</v>
      </c>
      <c r="L15" s="6">
        <f t="shared" si="5"/>
        <v>62.121917808219187</v>
      </c>
      <c r="M15" t="s">
        <v>79</v>
      </c>
      <c r="R15" s="9">
        <f>R7</f>
        <v>0</v>
      </c>
      <c r="S15" s="8">
        <f>S7</f>
        <v>6.25</v>
      </c>
      <c r="T15" s="9">
        <f>T7</f>
        <v>11</v>
      </c>
      <c r="U15" s="9">
        <f>U7</f>
        <v>21</v>
      </c>
      <c r="V15" s="9">
        <f>V7</f>
        <v>32</v>
      </c>
    </row>
    <row r="16" spans="1:22">
      <c r="A16" t="s">
        <v>151</v>
      </c>
      <c r="B16" t="s">
        <v>81</v>
      </c>
      <c r="C16" s="5">
        <v>500</v>
      </c>
      <c r="D16" s="5">
        <v>1</v>
      </c>
      <c r="E16" s="5">
        <v>500</v>
      </c>
      <c r="F16" s="5">
        <v>5</v>
      </c>
      <c r="G16" s="5">
        <f t="shared" si="4"/>
        <v>505</v>
      </c>
      <c r="H16" s="5" t="s">
        <v>75</v>
      </c>
      <c r="I16" s="5">
        <v>51.1</v>
      </c>
      <c r="J16" s="7">
        <v>219</v>
      </c>
      <c r="K16">
        <v>5932</v>
      </c>
      <c r="L16" s="6">
        <f t="shared" si="5"/>
        <v>56.459197651663402</v>
      </c>
      <c r="M16" t="s">
        <v>81</v>
      </c>
      <c r="P16" t="s">
        <v>287</v>
      </c>
      <c r="Q16" t="s">
        <v>13</v>
      </c>
      <c r="R16" s="8">
        <f>AVERAGE(R8:R10)</f>
        <v>66.295662100456624</v>
      </c>
      <c r="S16" s="8">
        <f>AVERAGE(S8:S10)</f>
        <v>162.84191128506197</v>
      </c>
      <c r="T16" s="8">
        <f>AVERAGE(T8:T10)</f>
        <v>189.41617742987606</v>
      </c>
      <c r="U16" s="8">
        <f>AVERAGE(U8:U10)</f>
        <v>175.76174168297459</v>
      </c>
      <c r="V16" s="8">
        <f>AVERAGE(V8:V10)</f>
        <v>376.86572080887146</v>
      </c>
    </row>
    <row r="17" spans="1:22">
      <c r="A17" t="s">
        <v>152</v>
      </c>
      <c r="B17" t="s">
        <v>137</v>
      </c>
      <c r="C17" s="5"/>
      <c r="D17" s="5"/>
      <c r="E17" s="5"/>
      <c r="F17" s="5"/>
      <c r="G17" s="5"/>
      <c r="H17" s="5" t="s">
        <v>75</v>
      </c>
      <c r="I17" s="5">
        <v>51.1</v>
      </c>
      <c r="J17" s="7"/>
      <c r="K17">
        <v>188</v>
      </c>
      <c r="L17" s="6"/>
      <c r="M17" t="s">
        <v>137</v>
      </c>
      <c r="Q17" t="s">
        <v>14</v>
      </c>
      <c r="R17" s="8">
        <f>AVERAGE(R11:R13)</f>
        <v>15.887899543378998</v>
      </c>
      <c r="S17" s="8">
        <f>AVERAGE(S11:S13)</f>
        <v>18.959406392694067</v>
      </c>
      <c r="T17" s="8">
        <f>AVERAGE(T11:T13)</f>
        <v>28.785329419439009</v>
      </c>
      <c r="U17" s="8">
        <f>AVERAGE(U11:U13)</f>
        <v>28.134396607958251</v>
      </c>
      <c r="V17" s="8">
        <f>AVERAGE(V11:V13)</f>
        <v>52.104272667971294</v>
      </c>
    </row>
    <row r="18" spans="1:22">
      <c r="A18" t="s">
        <v>153</v>
      </c>
      <c r="B18" t="s">
        <v>140</v>
      </c>
      <c r="C18" s="5"/>
      <c r="D18" s="5"/>
      <c r="E18" s="5"/>
      <c r="F18" s="5"/>
      <c r="G18" s="5"/>
      <c r="H18" s="5" t="s">
        <v>75</v>
      </c>
      <c r="I18" s="5">
        <v>51.1</v>
      </c>
      <c r="J18" s="7"/>
      <c r="K18">
        <v>182</v>
      </c>
      <c r="L18" s="6"/>
      <c r="M18" t="s">
        <v>140</v>
      </c>
    </row>
    <row r="19" spans="1:22">
      <c r="A19" t="s">
        <v>154</v>
      </c>
      <c r="B19" t="s">
        <v>142</v>
      </c>
      <c r="C19" s="5"/>
      <c r="D19" s="5"/>
      <c r="E19" s="5"/>
      <c r="F19" s="5"/>
      <c r="G19" s="5"/>
      <c r="H19" s="5" t="s">
        <v>75</v>
      </c>
      <c r="I19" s="5">
        <v>51.1</v>
      </c>
      <c r="J19" s="7">
        <f>AVERAGE(K17:K20)</f>
        <v>174.75</v>
      </c>
      <c r="K19">
        <v>149</v>
      </c>
      <c r="L19" s="6"/>
      <c r="M19" t="s">
        <v>142</v>
      </c>
      <c r="P19" t="s">
        <v>12</v>
      </c>
      <c r="Q19" t="s">
        <v>13</v>
      </c>
      <c r="R19">
        <f>STDEV(R8:R10)/(SQRT(3))</f>
        <v>7.1933085020803222</v>
      </c>
      <c r="S19">
        <f t="shared" ref="S19:V19" si="6">STDEV(S8:S10)/(SQRT(3))</f>
        <v>5.4800069753642555</v>
      </c>
      <c r="T19">
        <f t="shared" si="6"/>
        <v>14.796585053298253</v>
      </c>
      <c r="U19">
        <f t="shared" si="6"/>
        <v>2.6391555080543818</v>
      </c>
      <c r="V19">
        <f t="shared" si="6"/>
        <v>9.0344582901020125</v>
      </c>
    </row>
    <row r="20" spans="1:22">
      <c r="A20" t="s">
        <v>155</v>
      </c>
      <c r="B20" t="s">
        <v>144</v>
      </c>
      <c r="C20" s="5"/>
      <c r="D20" s="5"/>
      <c r="E20" s="5"/>
      <c r="F20" s="5"/>
      <c r="G20" s="5"/>
      <c r="H20" s="5" t="s">
        <v>75</v>
      </c>
      <c r="I20" s="5">
        <v>51.1</v>
      </c>
      <c r="J20" s="7">
        <v>175</v>
      </c>
      <c r="K20">
        <v>180</v>
      </c>
      <c r="L20" s="6"/>
      <c r="M20" t="s">
        <v>144</v>
      </c>
      <c r="Q20" t="s">
        <v>14</v>
      </c>
      <c r="R20">
        <f>STDEV(R11:R13)/(SQRT(3))</f>
        <v>1.3640152772038234</v>
      </c>
      <c r="S20">
        <f t="shared" ref="S20:V20" si="7">STDEV(S11:S13)/(SQRT(3))</f>
        <v>4.7110895329904032</v>
      </c>
      <c r="T20">
        <f t="shared" si="7"/>
        <v>0.24349511970405421</v>
      </c>
      <c r="U20">
        <f t="shared" si="7"/>
        <v>0.42948867109812777</v>
      </c>
      <c r="V20">
        <f t="shared" si="7"/>
        <v>0.15945534249163346</v>
      </c>
    </row>
    <row r="21" spans="1:22">
      <c r="A21" t="s">
        <v>156</v>
      </c>
      <c r="B21" t="s">
        <v>89</v>
      </c>
      <c r="C21" s="5">
        <v>500</v>
      </c>
      <c r="D21" s="5">
        <v>1</v>
      </c>
      <c r="E21" s="5">
        <v>500</v>
      </c>
      <c r="F21" s="5">
        <v>5</v>
      </c>
      <c r="G21" s="5">
        <f t="shared" si="4"/>
        <v>505</v>
      </c>
      <c r="H21" s="5" t="s">
        <v>75</v>
      </c>
      <c r="I21" s="5">
        <v>51.1</v>
      </c>
      <c r="J21" s="7">
        <v>175</v>
      </c>
      <c r="K21">
        <v>17760</v>
      </c>
      <c r="L21" s="6">
        <f t="shared" si="5"/>
        <v>173.78522504892371</v>
      </c>
      <c r="M21" t="s">
        <v>89</v>
      </c>
    </row>
    <row r="22" spans="1:22">
      <c r="A22" t="s">
        <v>157</v>
      </c>
      <c r="B22" t="s">
        <v>91</v>
      </c>
      <c r="C22" s="5">
        <v>500</v>
      </c>
      <c r="D22" s="5">
        <v>1</v>
      </c>
      <c r="E22" s="5">
        <v>500</v>
      </c>
      <c r="F22" s="5">
        <v>5</v>
      </c>
      <c r="G22" s="5">
        <f t="shared" si="4"/>
        <v>505</v>
      </c>
      <c r="H22" s="5" t="s">
        <v>75</v>
      </c>
      <c r="I22" s="5">
        <v>51.1</v>
      </c>
      <c r="J22" s="7">
        <v>175</v>
      </c>
      <c r="K22">
        <v>16152</v>
      </c>
      <c r="L22" s="6">
        <f t="shared" si="5"/>
        <v>157.89403131115461</v>
      </c>
      <c r="M22" t="s">
        <v>91</v>
      </c>
    </row>
    <row r="23" spans="1:22">
      <c r="A23" t="s">
        <v>158</v>
      </c>
      <c r="B23" t="s">
        <v>93</v>
      </c>
      <c r="C23" s="5">
        <v>500</v>
      </c>
      <c r="D23" s="5">
        <v>1</v>
      </c>
      <c r="E23" s="5">
        <v>500</v>
      </c>
      <c r="F23" s="5">
        <v>5</v>
      </c>
      <c r="G23" s="5">
        <f t="shared" si="4"/>
        <v>505</v>
      </c>
      <c r="H23" s="5" t="s">
        <v>75</v>
      </c>
      <c r="I23" s="5">
        <v>51.1</v>
      </c>
      <c r="J23" s="7">
        <v>175</v>
      </c>
      <c r="K23">
        <v>16046</v>
      </c>
      <c r="L23" s="6">
        <f t="shared" si="5"/>
        <v>156.84647749510765</v>
      </c>
      <c r="M23" t="s">
        <v>93</v>
      </c>
    </row>
    <row r="24" spans="1:22">
      <c r="A24" t="s">
        <v>159</v>
      </c>
      <c r="B24" t="s">
        <v>95</v>
      </c>
      <c r="C24" s="5">
        <v>100</v>
      </c>
      <c r="D24" s="5">
        <v>1</v>
      </c>
      <c r="E24" s="5">
        <v>500</v>
      </c>
      <c r="F24" s="5">
        <v>5</v>
      </c>
      <c r="G24" s="5">
        <f t="shared" si="4"/>
        <v>505</v>
      </c>
      <c r="H24" s="5" t="s">
        <v>75</v>
      </c>
      <c r="I24" s="5">
        <v>51.1</v>
      </c>
      <c r="J24" s="7">
        <v>175</v>
      </c>
      <c r="K24">
        <v>11843</v>
      </c>
      <c r="L24" s="6">
        <f t="shared" si="5"/>
        <v>23.061996086105676</v>
      </c>
      <c r="M24" t="s">
        <v>95</v>
      </c>
    </row>
    <row r="25" spans="1:22">
      <c r="A25" t="s">
        <v>160</v>
      </c>
      <c r="B25" t="s">
        <v>97</v>
      </c>
      <c r="C25" s="5">
        <v>100</v>
      </c>
      <c r="D25" s="5">
        <v>1</v>
      </c>
      <c r="E25" s="5">
        <v>500</v>
      </c>
      <c r="F25" s="5">
        <v>5</v>
      </c>
      <c r="G25" s="5">
        <f t="shared" si="4"/>
        <v>505</v>
      </c>
      <c r="H25" s="5" t="s">
        <v>75</v>
      </c>
      <c r="I25" s="5">
        <v>51.1</v>
      </c>
      <c r="J25" s="7">
        <v>175</v>
      </c>
      <c r="K25">
        <v>5013</v>
      </c>
      <c r="L25" s="6">
        <f t="shared" si="5"/>
        <v>9.5623874755381593</v>
      </c>
      <c r="M25" t="s">
        <v>97</v>
      </c>
    </row>
    <row r="26" spans="1:22">
      <c r="A26" t="s">
        <v>161</v>
      </c>
      <c r="B26" t="s">
        <v>99</v>
      </c>
      <c r="C26" s="5">
        <v>100</v>
      </c>
      <c r="D26" s="5">
        <v>1</v>
      </c>
      <c r="E26" s="5">
        <v>500</v>
      </c>
      <c r="F26" s="5">
        <v>5</v>
      </c>
      <c r="G26" s="5">
        <f t="shared" si="4"/>
        <v>505</v>
      </c>
      <c r="H26" s="5" t="s">
        <v>75</v>
      </c>
      <c r="I26" s="5">
        <v>51.1</v>
      </c>
      <c r="J26" s="7">
        <v>175</v>
      </c>
      <c r="K26">
        <v>12446</v>
      </c>
      <c r="L26" s="6">
        <f t="shared" si="5"/>
        <v>24.253835616438359</v>
      </c>
      <c r="M26" t="s">
        <v>99</v>
      </c>
    </row>
    <row r="27" spans="1:22">
      <c r="A27" t="s">
        <v>162</v>
      </c>
      <c r="B27" t="s">
        <v>137</v>
      </c>
      <c r="C27" s="5"/>
      <c r="D27" s="5"/>
      <c r="E27" s="5"/>
      <c r="F27" s="5"/>
      <c r="G27" s="5"/>
      <c r="H27" s="5" t="s">
        <v>75</v>
      </c>
      <c r="I27" s="5">
        <v>51.1</v>
      </c>
      <c r="J27" s="7"/>
      <c r="K27">
        <v>2439</v>
      </c>
      <c r="L27" s="6"/>
      <c r="M27" t="s">
        <v>137</v>
      </c>
    </row>
    <row r="28" spans="1:22">
      <c r="A28" t="s">
        <v>163</v>
      </c>
      <c r="B28" t="s">
        <v>140</v>
      </c>
      <c r="C28" s="5"/>
      <c r="D28" s="5"/>
      <c r="E28" s="5"/>
      <c r="F28" s="5"/>
      <c r="G28" s="5"/>
      <c r="H28" s="5" t="s">
        <v>75</v>
      </c>
      <c r="I28" s="5">
        <v>51.1</v>
      </c>
      <c r="J28" s="7"/>
      <c r="K28">
        <v>774</v>
      </c>
      <c r="L28" s="6"/>
      <c r="M28" t="s">
        <v>140</v>
      </c>
    </row>
    <row r="29" spans="1:22">
      <c r="A29" t="s">
        <v>164</v>
      </c>
      <c r="B29" t="s">
        <v>142</v>
      </c>
      <c r="C29" s="5"/>
      <c r="D29" s="5"/>
      <c r="E29" s="5"/>
      <c r="F29" s="5"/>
      <c r="G29" s="5"/>
      <c r="H29" s="5" t="s">
        <v>75</v>
      </c>
      <c r="I29" s="5">
        <v>51.1</v>
      </c>
      <c r="J29" s="7"/>
      <c r="K29">
        <v>670</v>
      </c>
      <c r="L29" s="6"/>
      <c r="M29" t="s">
        <v>142</v>
      </c>
    </row>
    <row r="30" spans="1:22">
      <c r="A30" t="s">
        <v>165</v>
      </c>
      <c r="B30" t="s">
        <v>144</v>
      </c>
      <c r="C30" s="5"/>
      <c r="D30" s="5"/>
      <c r="E30" s="5"/>
      <c r="F30" s="5"/>
      <c r="G30" s="5"/>
      <c r="H30" s="5" t="s">
        <v>75</v>
      </c>
      <c r="I30" s="5">
        <v>51.1</v>
      </c>
      <c r="J30" s="7">
        <v>443</v>
      </c>
      <c r="K30">
        <v>443</v>
      </c>
      <c r="L30" s="6"/>
      <c r="M30" t="s">
        <v>144</v>
      </c>
    </row>
    <row r="31" spans="1:22">
      <c r="A31" t="s">
        <v>166</v>
      </c>
      <c r="B31" t="s">
        <v>101</v>
      </c>
      <c r="C31" s="5">
        <v>500</v>
      </c>
      <c r="D31" s="5">
        <v>1</v>
      </c>
      <c r="E31" s="5">
        <v>500</v>
      </c>
      <c r="F31" s="5">
        <v>5</v>
      </c>
      <c r="G31" s="5">
        <f t="shared" si="4"/>
        <v>505</v>
      </c>
      <c r="H31" s="5" t="s">
        <v>75</v>
      </c>
      <c r="I31" s="5">
        <v>51.1</v>
      </c>
      <c r="J31" s="7">
        <v>443</v>
      </c>
      <c r="K31">
        <v>22570</v>
      </c>
      <c r="L31" s="6">
        <f t="shared" si="5"/>
        <v>218.67191780821918</v>
      </c>
      <c r="M31" t="s">
        <v>101</v>
      </c>
    </row>
    <row r="32" spans="1:22">
      <c r="A32" t="s">
        <v>167</v>
      </c>
      <c r="B32" t="s">
        <v>103</v>
      </c>
      <c r="C32" s="5">
        <v>500</v>
      </c>
      <c r="D32" s="5">
        <v>1</v>
      </c>
      <c r="E32" s="5">
        <v>500</v>
      </c>
      <c r="F32" s="5">
        <v>5</v>
      </c>
      <c r="G32" s="5">
        <f t="shared" si="4"/>
        <v>505</v>
      </c>
      <c r="H32" s="5" t="s">
        <v>75</v>
      </c>
      <c r="I32" s="5">
        <v>51.1</v>
      </c>
      <c r="J32" s="7">
        <v>443</v>
      </c>
      <c r="K32">
        <v>18520</v>
      </c>
      <c r="L32" s="6">
        <f t="shared" si="5"/>
        <v>178.64745596868886</v>
      </c>
      <c r="M32" t="s">
        <v>103</v>
      </c>
    </row>
    <row r="33" spans="1:13">
      <c r="A33" t="s">
        <v>168</v>
      </c>
      <c r="B33" t="s">
        <v>105</v>
      </c>
      <c r="C33" s="5">
        <v>500</v>
      </c>
      <c r="D33" s="5">
        <v>1</v>
      </c>
      <c r="E33" s="5">
        <v>500</v>
      </c>
      <c r="F33" s="5">
        <v>5</v>
      </c>
      <c r="G33" s="5">
        <f t="shared" si="4"/>
        <v>505</v>
      </c>
      <c r="H33" s="5" t="s">
        <v>75</v>
      </c>
      <c r="I33" s="5">
        <v>51.1</v>
      </c>
      <c r="J33" s="7">
        <v>443</v>
      </c>
      <c r="K33">
        <v>17739</v>
      </c>
      <c r="L33" s="6">
        <f t="shared" si="5"/>
        <v>170.92915851272014</v>
      </c>
      <c r="M33" t="s">
        <v>105</v>
      </c>
    </row>
    <row r="34" spans="1:13">
      <c r="A34" t="s">
        <v>169</v>
      </c>
      <c r="B34" t="s">
        <v>107</v>
      </c>
      <c r="C34" s="5">
        <v>100</v>
      </c>
      <c r="D34" s="5">
        <v>1</v>
      </c>
      <c r="E34" s="5">
        <v>500</v>
      </c>
      <c r="F34" s="5">
        <v>5</v>
      </c>
      <c r="G34" s="5">
        <f t="shared" si="4"/>
        <v>505</v>
      </c>
      <c r="H34" s="5" t="s">
        <v>75</v>
      </c>
      <c r="I34" s="5">
        <v>51.1</v>
      </c>
      <c r="J34" s="7">
        <v>443</v>
      </c>
      <c r="K34">
        <v>14767</v>
      </c>
      <c r="L34" s="6">
        <f t="shared" si="5"/>
        <v>28.311624266144811</v>
      </c>
      <c r="M34" t="s">
        <v>107</v>
      </c>
    </row>
    <row r="35" spans="1:13">
      <c r="A35" t="s">
        <v>170</v>
      </c>
      <c r="B35" t="s">
        <v>109</v>
      </c>
      <c r="C35" s="5">
        <v>100</v>
      </c>
      <c r="D35" s="5">
        <v>1</v>
      </c>
      <c r="E35" s="5">
        <v>500</v>
      </c>
      <c r="F35" s="5">
        <v>5</v>
      </c>
      <c r="G35" s="5">
        <f t="shared" si="4"/>
        <v>505</v>
      </c>
      <c r="H35" s="5" t="s">
        <v>75</v>
      </c>
      <c r="I35" s="5">
        <v>51.1</v>
      </c>
      <c r="J35" s="7">
        <v>443</v>
      </c>
      <c r="K35">
        <v>15176</v>
      </c>
      <c r="L35" s="6">
        <f t="shared" si="5"/>
        <v>29.120019569471623</v>
      </c>
      <c r="M35" t="s">
        <v>109</v>
      </c>
    </row>
    <row r="36" spans="1:13">
      <c r="A36" t="s">
        <v>171</v>
      </c>
      <c r="B36" t="s">
        <v>111</v>
      </c>
      <c r="C36" s="5">
        <v>100</v>
      </c>
      <c r="D36" s="5">
        <v>1</v>
      </c>
      <c r="E36" s="5">
        <v>500</v>
      </c>
      <c r="F36" s="5">
        <v>5</v>
      </c>
      <c r="G36" s="5">
        <f t="shared" si="4"/>
        <v>505</v>
      </c>
      <c r="H36" s="5" t="s">
        <v>75</v>
      </c>
      <c r="I36" s="5">
        <v>51.1</v>
      </c>
      <c r="J36" s="7">
        <v>443</v>
      </c>
      <c r="K36">
        <v>15077</v>
      </c>
      <c r="L36" s="6">
        <f t="shared" si="5"/>
        <v>28.924344422700589</v>
      </c>
      <c r="M36" t="s">
        <v>111</v>
      </c>
    </row>
    <row r="37" spans="1:13">
      <c r="A37" t="s">
        <v>172</v>
      </c>
      <c r="B37" t="s">
        <v>137</v>
      </c>
      <c r="C37" s="5"/>
      <c r="D37" s="5"/>
      <c r="E37" s="5"/>
      <c r="F37" s="5"/>
      <c r="G37" s="5"/>
      <c r="H37" s="5" t="s">
        <v>75</v>
      </c>
      <c r="I37" s="5">
        <v>51.1</v>
      </c>
      <c r="J37" s="7"/>
      <c r="K37">
        <v>329</v>
      </c>
      <c r="L37" s="6"/>
      <c r="M37" t="s">
        <v>137</v>
      </c>
    </row>
    <row r="38" spans="1:13">
      <c r="A38" t="s">
        <v>173</v>
      </c>
      <c r="B38" t="s">
        <v>140</v>
      </c>
      <c r="C38" s="5"/>
      <c r="D38" s="5"/>
      <c r="E38" s="5"/>
      <c r="F38" s="5"/>
      <c r="G38" s="5"/>
      <c r="H38" s="5" t="s">
        <v>75</v>
      </c>
      <c r="I38" s="5">
        <v>51.1</v>
      </c>
      <c r="J38" s="7"/>
      <c r="K38">
        <v>231</v>
      </c>
      <c r="L38" s="6"/>
      <c r="M38" t="s">
        <v>140</v>
      </c>
    </row>
    <row r="39" spans="1:13">
      <c r="A39" t="s">
        <v>174</v>
      </c>
      <c r="B39" t="s">
        <v>142</v>
      </c>
      <c r="C39" s="5"/>
      <c r="D39" s="5"/>
      <c r="E39" s="5"/>
      <c r="F39" s="5"/>
      <c r="G39" s="5"/>
      <c r="H39" s="5" t="s">
        <v>75</v>
      </c>
      <c r="I39" s="5">
        <v>51.1</v>
      </c>
      <c r="J39" s="7">
        <v>211</v>
      </c>
      <c r="K39">
        <v>211</v>
      </c>
      <c r="L39" s="6"/>
      <c r="M39" t="s">
        <v>142</v>
      </c>
    </row>
    <row r="40" spans="1:13">
      <c r="A40" t="s">
        <v>175</v>
      </c>
      <c r="B40" t="s">
        <v>113</v>
      </c>
      <c r="C40" s="5">
        <v>500</v>
      </c>
      <c r="D40" s="5">
        <v>1</v>
      </c>
      <c r="E40" s="5">
        <v>500</v>
      </c>
      <c r="F40" s="5">
        <v>5</v>
      </c>
      <c r="G40" s="5">
        <f t="shared" si="4"/>
        <v>505</v>
      </c>
      <c r="H40" s="5" t="s">
        <v>75</v>
      </c>
      <c r="I40" s="5">
        <v>51.1</v>
      </c>
      <c r="J40" s="7">
        <v>211</v>
      </c>
      <c r="K40">
        <v>17689</v>
      </c>
      <c r="L40" s="6">
        <f t="shared" si="5"/>
        <v>172.72778864970644</v>
      </c>
      <c r="M40" t="s">
        <v>113</v>
      </c>
    </row>
    <row r="41" spans="1:13">
      <c r="A41" t="s">
        <v>176</v>
      </c>
      <c r="B41" t="s">
        <v>115</v>
      </c>
      <c r="C41" s="5">
        <v>500</v>
      </c>
      <c r="D41" s="5">
        <v>1</v>
      </c>
      <c r="E41" s="5">
        <v>500</v>
      </c>
      <c r="F41" s="5">
        <v>5</v>
      </c>
      <c r="G41" s="5">
        <f t="shared" si="4"/>
        <v>505</v>
      </c>
      <c r="H41" s="5" t="s">
        <v>75</v>
      </c>
      <c r="I41" s="5">
        <v>51.1</v>
      </c>
      <c r="J41" s="7">
        <v>211</v>
      </c>
      <c r="K41">
        <v>17771</v>
      </c>
      <c r="L41" s="6">
        <f t="shared" si="5"/>
        <v>173.5381604696673</v>
      </c>
      <c r="M41" t="s">
        <v>115</v>
      </c>
    </row>
    <row r="42" spans="1:13">
      <c r="A42" t="s">
        <v>177</v>
      </c>
      <c r="B42" t="s">
        <v>117</v>
      </c>
      <c r="C42" s="5">
        <v>500</v>
      </c>
      <c r="D42" s="5">
        <v>1</v>
      </c>
      <c r="E42" s="5">
        <v>500</v>
      </c>
      <c r="F42" s="5">
        <v>5</v>
      </c>
      <c r="G42" s="5">
        <f t="shared" si="4"/>
        <v>505</v>
      </c>
      <c r="H42" s="5" t="s">
        <v>75</v>
      </c>
      <c r="I42" s="5">
        <v>51.1</v>
      </c>
      <c r="J42" s="7">
        <v>211</v>
      </c>
      <c r="K42">
        <v>18528</v>
      </c>
      <c r="L42" s="6">
        <f t="shared" si="5"/>
        <v>181.01927592954993</v>
      </c>
      <c r="M42" t="s">
        <v>117</v>
      </c>
    </row>
    <row r="43" spans="1:13">
      <c r="A43" t="s">
        <v>178</v>
      </c>
      <c r="B43" t="s">
        <v>119</v>
      </c>
      <c r="C43" s="5">
        <v>100</v>
      </c>
      <c r="D43" s="5">
        <v>1</v>
      </c>
      <c r="E43" s="5">
        <v>500</v>
      </c>
      <c r="F43" s="5">
        <v>5</v>
      </c>
      <c r="G43" s="5">
        <f t="shared" si="4"/>
        <v>505</v>
      </c>
      <c r="H43" s="5" t="s">
        <v>75</v>
      </c>
      <c r="I43" s="5">
        <v>51.1</v>
      </c>
      <c r="J43" s="7">
        <v>211</v>
      </c>
      <c r="K43">
        <v>14707</v>
      </c>
      <c r="L43" s="6">
        <f t="shared" si="5"/>
        <v>28.651585127201564</v>
      </c>
      <c r="M43" t="s">
        <v>119</v>
      </c>
    </row>
    <row r="44" spans="1:13">
      <c r="A44" t="s">
        <v>179</v>
      </c>
      <c r="B44" t="s">
        <v>121</v>
      </c>
      <c r="C44" s="5">
        <v>100</v>
      </c>
      <c r="D44" s="5">
        <v>1</v>
      </c>
      <c r="E44" s="5">
        <v>500</v>
      </c>
      <c r="F44" s="5">
        <v>5</v>
      </c>
      <c r="G44" s="5">
        <f t="shared" si="4"/>
        <v>505</v>
      </c>
      <c r="H44" s="5" t="s">
        <v>75</v>
      </c>
      <c r="I44" s="5">
        <v>51.1</v>
      </c>
      <c r="J44" s="7">
        <v>211</v>
      </c>
      <c r="K44">
        <v>14615</v>
      </c>
      <c r="L44" s="6">
        <f t="shared" si="5"/>
        <v>28.469745596868883</v>
      </c>
      <c r="M44" t="s">
        <v>121</v>
      </c>
    </row>
    <row r="45" spans="1:13">
      <c r="A45" t="s">
        <v>180</v>
      </c>
      <c r="B45" t="s">
        <v>123</v>
      </c>
      <c r="C45" s="5">
        <v>100</v>
      </c>
      <c r="D45" s="5">
        <v>1</v>
      </c>
      <c r="E45" s="5">
        <v>500</v>
      </c>
      <c r="F45" s="5">
        <v>5</v>
      </c>
      <c r="G45" s="5">
        <f t="shared" si="4"/>
        <v>505</v>
      </c>
      <c r="H45" s="5" t="s">
        <v>75</v>
      </c>
      <c r="I45" s="5">
        <v>51.1</v>
      </c>
      <c r="J45" s="7">
        <v>211</v>
      </c>
      <c r="K45">
        <v>14014</v>
      </c>
      <c r="L45" s="6">
        <f t="shared" si="5"/>
        <v>27.281859099804304</v>
      </c>
      <c r="M45" t="s">
        <v>123</v>
      </c>
    </row>
    <row r="46" spans="1:13">
      <c r="A46" t="s">
        <v>183</v>
      </c>
      <c r="B46" t="s">
        <v>137</v>
      </c>
      <c r="C46" s="5"/>
      <c r="D46" s="5"/>
      <c r="E46" s="5"/>
      <c r="F46" s="5"/>
      <c r="G46" s="5"/>
      <c r="H46" s="5" t="s">
        <v>75</v>
      </c>
      <c r="I46" s="5">
        <v>51.1</v>
      </c>
      <c r="J46" s="7"/>
      <c r="K46">
        <v>621</v>
      </c>
      <c r="L46" s="6"/>
      <c r="M46" t="s">
        <v>137</v>
      </c>
    </row>
    <row r="47" spans="1:13">
      <c r="A47" t="s">
        <v>184</v>
      </c>
      <c r="B47" t="s">
        <v>140</v>
      </c>
      <c r="C47" s="5"/>
      <c r="D47" s="5"/>
      <c r="E47" s="5"/>
      <c r="F47" s="5"/>
      <c r="G47" s="5"/>
      <c r="H47" s="5" t="s">
        <v>75</v>
      </c>
      <c r="I47" s="5">
        <v>51.1</v>
      </c>
      <c r="J47" s="7"/>
      <c r="K47">
        <v>599</v>
      </c>
      <c r="L47" s="6"/>
      <c r="M47" t="s">
        <v>140</v>
      </c>
    </row>
    <row r="48" spans="1:13">
      <c r="A48" t="s">
        <v>185</v>
      </c>
      <c r="B48" t="s">
        <v>142</v>
      </c>
      <c r="C48" s="5"/>
      <c r="D48" s="5"/>
      <c r="E48" s="5"/>
      <c r="F48" s="5"/>
      <c r="G48" s="5"/>
      <c r="H48" s="5" t="s">
        <v>75</v>
      </c>
      <c r="I48" s="5">
        <v>51.1</v>
      </c>
      <c r="J48" s="7"/>
      <c r="K48">
        <v>476</v>
      </c>
      <c r="L48" s="6"/>
      <c r="M48" t="s">
        <v>142</v>
      </c>
    </row>
    <row r="49" spans="1:13">
      <c r="A49" t="s">
        <v>186</v>
      </c>
      <c r="B49" t="s">
        <v>144</v>
      </c>
      <c r="C49" s="5"/>
      <c r="D49" s="5"/>
      <c r="E49" s="5"/>
      <c r="F49" s="5"/>
      <c r="G49" s="5"/>
      <c r="H49" s="5" t="s">
        <v>75</v>
      </c>
      <c r="I49" s="5">
        <v>51.1</v>
      </c>
      <c r="J49" s="7">
        <v>424</v>
      </c>
      <c r="K49">
        <v>424</v>
      </c>
      <c r="L49" s="6"/>
      <c r="M49" t="s">
        <v>144</v>
      </c>
    </row>
    <row r="50" spans="1:13">
      <c r="A50" t="s">
        <v>187</v>
      </c>
      <c r="B50" t="s">
        <v>125</v>
      </c>
      <c r="C50" s="5">
        <v>500</v>
      </c>
      <c r="D50" s="5">
        <v>1</v>
      </c>
      <c r="E50" s="5">
        <v>500</v>
      </c>
      <c r="F50" s="5">
        <v>5</v>
      </c>
      <c r="G50" s="5">
        <f t="shared" si="4"/>
        <v>505</v>
      </c>
      <c r="H50" s="5" t="s">
        <v>75</v>
      </c>
      <c r="I50" s="5">
        <v>51.1</v>
      </c>
      <c r="J50" s="7">
        <v>424</v>
      </c>
      <c r="K50">
        <v>39464</v>
      </c>
      <c r="L50" s="6">
        <f t="shared" si="5"/>
        <v>385.8160469667319</v>
      </c>
      <c r="M50" t="s">
        <v>125</v>
      </c>
    </row>
    <row r="51" spans="1:13">
      <c r="A51" t="s">
        <v>188</v>
      </c>
      <c r="B51" t="s">
        <v>128</v>
      </c>
      <c r="C51" s="5">
        <v>500</v>
      </c>
      <c r="D51" s="5">
        <v>1</v>
      </c>
      <c r="E51" s="5">
        <v>500</v>
      </c>
      <c r="F51" s="5">
        <v>5</v>
      </c>
      <c r="G51" s="5">
        <f t="shared" si="4"/>
        <v>505</v>
      </c>
      <c r="H51" s="5" t="s">
        <v>75</v>
      </c>
      <c r="I51" s="5">
        <v>51.1</v>
      </c>
      <c r="J51" s="7">
        <v>424</v>
      </c>
      <c r="K51">
        <v>39481</v>
      </c>
      <c r="L51" s="6">
        <f t="shared" si="5"/>
        <v>385.98405088062628</v>
      </c>
      <c r="M51" t="s">
        <v>128</v>
      </c>
    </row>
    <row r="52" spans="1:13">
      <c r="A52" t="s">
        <v>189</v>
      </c>
      <c r="B52" t="s">
        <v>130</v>
      </c>
      <c r="C52" s="5">
        <v>500</v>
      </c>
      <c r="D52" s="5">
        <v>1</v>
      </c>
      <c r="E52" s="5">
        <v>500</v>
      </c>
      <c r="F52" s="5">
        <v>5</v>
      </c>
      <c r="G52" s="5">
        <f t="shared" si="4"/>
        <v>505</v>
      </c>
      <c r="H52" s="5" t="s">
        <v>75</v>
      </c>
      <c r="I52" s="5">
        <v>51.1</v>
      </c>
      <c r="J52" s="7">
        <v>424</v>
      </c>
      <c r="K52">
        <v>36730</v>
      </c>
      <c r="L52" s="6">
        <f t="shared" si="5"/>
        <v>358.79706457925636</v>
      </c>
      <c r="M52" t="s">
        <v>130</v>
      </c>
    </row>
    <row r="53" spans="1:13">
      <c r="A53" t="s">
        <v>190</v>
      </c>
      <c r="B53" t="s">
        <v>132</v>
      </c>
      <c r="C53" s="5">
        <v>100</v>
      </c>
      <c r="D53" s="5">
        <v>1</v>
      </c>
      <c r="E53" s="5">
        <v>500</v>
      </c>
      <c r="F53" s="5">
        <v>5</v>
      </c>
      <c r="G53" s="5">
        <f t="shared" si="4"/>
        <v>505</v>
      </c>
      <c r="H53" s="5" t="s">
        <v>75</v>
      </c>
      <c r="I53" s="5">
        <v>51.1</v>
      </c>
      <c r="J53" s="7">
        <v>424</v>
      </c>
      <c r="K53">
        <v>26703</v>
      </c>
      <c r="L53" s="6">
        <f t="shared" si="5"/>
        <v>51.940880626223098</v>
      </c>
      <c r="M53" t="s">
        <v>132</v>
      </c>
    </row>
    <row r="54" spans="1:13">
      <c r="A54" t="s">
        <v>191</v>
      </c>
      <c r="B54" t="s">
        <v>134</v>
      </c>
      <c r="C54" s="5">
        <v>100</v>
      </c>
      <c r="D54" s="5">
        <v>1</v>
      </c>
      <c r="E54" s="5">
        <v>500</v>
      </c>
      <c r="F54" s="5">
        <v>5</v>
      </c>
      <c r="G54" s="5">
        <f t="shared" si="4"/>
        <v>505</v>
      </c>
      <c r="H54" s="5" t="s">
        <v>75</v>
      </c>
      <c r="I54" s="5">
        <v>51.1</v>
      </c>
      <c r="J54" s="7">
        <v>424</v>
      </c>
      <c r="K54">
        <v>26947</v>
      </c>
      <c r="L54" s="6">
        <f t="shared" si="5"/>
        <v>52.4231506849315</v>
      </c>
      <c r="M54" t="s">
        <v>134</v>
      </c>
    </row>
    <row r="55" spans="1:13">
      <c r="A55" t="s">
        <v>192</v>
      </c>
      <c r="B55" t="s">
        <v>136</v>
      </c>
      <c r="C55" s="5">
        <v>100</v>
      </c>
      <c r="D55" s="5">
        <v>1</v>
      </c>
      <c r="E55" s="5">
        <v>500</v>
      </c>
      <c r="F55" s="5">
        <v>5</v>
      </c>
      <c r="G55" s="5">
        <f t="shared" si="4"/>
        <v>505</v>
      </c>
      <c r="H55" s="5" t="s">
        <v>75</v>
      </c>
      <c r="I55" s="5">
        <v>51.1</v>
      </c>
      <c r="J55" s="7">
        <v>424</v>
      </c>
      <c r="K55">
        <v>26707</v>
      </c>
      <c r="L55" s="6">
        <f t="shared" si="5"/>
        <v>51.948786692759292</v>
      </c>
      <c r="M55" t="s">
        <v>136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3:X41"/>
  <sheetViews>
    <sheetView workbookViewId="0">
      <selection activeCell="T9" sqref="T9"/>
    </sheetView>
  </sheetViews>
  <sheetFormatPr defaultRowHeight="15"/>
  <sheetData>
    <row r="3" spans="1:24" ht="39.75">
      <c r="A3" s="4" t="s">
        <v>64</v>
      </c>
      <c r="B3" s="4" t="s">
        <v>65</v>
      </c>
      <c r="C3" s="4" t="s">
        <v>66</v>
      </c>
      <c r="D3" s="4" t="s">
        <v>67</v>
      </c>
      <c r="E3" s="4" t="s">
        <v>71</v>
      </c>
      <c r="F3" s="4" t="s">
        <v>72</v>
      </c>
      <c r="G3" s="4" t="s">
        <v>334</v>
      </c>
      <c r="H3" s="4" t="s">
        <v>335</v>
      </c>
      <c r="I3" s="4" t="s">
        <v>336</v>
      </c>
      <c r="J3" s="4" t="s">
        <v>337</v>
      </c>
      <c r="K3" s="4" t="s">
        <v>276</v>
      </c>
      <c r="L3" s="4" t="s">
        <v>277</v>
      </c>
      <c r="M3" s="4" t="s">
        <v>278</v>
      </c>
      <c r="N3" s="4" t="s">
        <v>279</v>
      </c>
      <c r="O3" s="4" t="s">
        <v>280</v>
      </c>
    </row>
    <row r="4" spans="1:2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6"/>
    </row>
    <row r="5" spans="1:24">
      <c r="C5" s="5"/>
      <c r="D5" s="5"/>
      <c r="E5" s="5" t="s">
        <v>275</v>
      </c>
      <c r="F5" s="5">
        <v>70.400000000000006</v>
      </c>
      <c r="G5" s="7"/>
      <c r="H5" s="7"/>
      <c r="I5" s="7"/>
      <c r="O5" s="6"/>
    </row>
    <row r="6" spans="1:24">
      <c r="A6" t="s">
        <v>264</v>
      </c>
      <c r="B6" t="s">
        <v>265</v>
      </c>
      <c r="C6" s="5">
        <v>1</v>
      </c>
      <c r="D6" s="5">
        <v>5</v>
      </c>
      <c r="E6" s="5" t="s">
        <v>275</v>
      </c>
      <c r="F6" s="5">
        <v>70.400000000000006</v>
      </c>
      <c r="G6">
        <v>10747</v>
      </c>
      <c r="H6">
        <v>1324</v>
      </c>
      <c r="I6">
        <v>2110</v>
      </c>
      <c r="J6">
        <v>282</v>
      </c>
      <c r="K6">
        <f>(G6/((F6*D6)/1000))/1000</f>
        <v>30.53125</v>
      </c>
      <c r="L6">
        <f>(H6/((F6*D6)/1000))/1000</f>
        <v>3.7613636363636367</v>
      </c>
      <c r="M6">
        <f>(I6/((F6*D6)/1000))/1000</f>
        <v>5.9943181818181817</v>
      </c>
      <c r="N6">
        <f>(J6/((F6*D6)/1000))/1000</f>
        <v>0.80113636363636365</v>
      </c>
      <c r="O6" s="6">
        <f>K6+L6+M6+N6</f>
        <v>41.088068181818187</v>
      </c>
      <c r="P6" t="s">
        <v>265</v>
      </c>
    </row>
    <row r="7" spans="1:24">
      <c r="A7" t="s">
        <v>266</v>
      </c>
      <c r="B7" t="s">
        <v>265</v>
      </c>
      <c r="C7" s="5">
        <v>1</v>
      </c>
      <c r="D7" s="5">
        <v>10</v>
      </c>
      <c r="E7" s="5" t="s">
        <v>275</v>
      </c>
      <c r="F7" s="5">
        <v>70.400000000000006</v>
      </c>
      <c r="G7">
        <v>3516</v>
      </c>
      <c r="H7">
        <v>426</v>
      </c>
      <c r="I7">
        <v>525</v>
      </c>
      <c r="J7">
        <v>55</v>
      </c>
      <c r="K7">
        <f t="shared" ref="K7:K15" si="0">(G7/((F7*D7)/1000))/1000</f>
        <v>4.9943181818181817</v>
      </c>
      <c r="L7">
        <f t="shared" ref="L7:L15" si="1">(H7/((F7*D7)/1000))/1000</f>
        <v>0.60511363636363635</v>
      </c>
      <c r="M7">
        <f t="shared" ref="M7:M15" si="2">(I7/((F7*D7)/1000))/1000</f>
        <v>0.74573863636363635</v>
      </c>
      <c r="N7">
        <f t="shared" ref="N7:N15" si="3">(J7/((F7*D7)/1000))/1000</f>
        <v>7.8125E-2</v>
      </c>
      <c r="O7" s="6">
        <f t="shared" ref="O7:O15" si="4">K7+L7+M7+N7</f>
        <v>6.423295454545455</v>
      </c>
      <c r="P7" t="s">
        <v>265</v>
      </c>
    </row>
    <row r="8" spans="1:24">
      <c r="A8" t="s">
        <v>267</v>
      </c>
      <c r="B8" t="s">
        <v>77</v>
      </c>
      <c r="C8" s="5">
        <v>1</v>
      </c>
      <c r="D8" s="5">
        <v>10</v>
      </c>
      <c r="E8" s="5" t="s">
        <v>275</v>
      </c>
      <c r="F8" s="5">
        <v>70.400000000000006</v>
      </c>
      <c r="G8">
        <v>3206</v>
      </c>
      <c r="H8">
        <v>691</v>
      </c>
      <c r="I8">
        <v>94</v>
      </c>
      <c r="J8">
        <v>295</v>
      </c>
      <c r="K8">
        <f t="shared" si="0"/>
        <v>4.5539772727272734</v>
      </c>
      <c r="L8">
        <f t="shared" si="1"/>
        <v>0.98153409090909094</v>
      </c>
      <c r="M8">
        <f t="shared" si="2"/>
        <v>0.13352272727272729</v>
      </c>
      <c r="N8">
        <f t="shared" si="3"/>
        <v>0.41903409090909094</v>
      </c>
      <c r="O8" s="6">
        <f t="shared" si="4"/>
        <v>6.0880681818181825</v>
      </c>
      <c r="P8" t="s">
        <v>77</v>
      </c>
      <c r="T8">
        <v>0</v>
      </c>
      <c r="U8">
        <v>6.25</v>
      </c>
      <c r="V8">
        <v>11</v>
      </c>
      <c r="W8">
        <v>21</v>
      </c>
      <c r="X8">
        <v>32</v>
      </c>
    </row>
    <row r="9" spans="1:24">
      <c r="A9" t="s">
        <v>268</v>
      </c>
      <c r="B9" t="s">
        <v>77</v>
      </c>
      <c r="C9" s="5">
        <v>1</v>
      </c>
      <c r="D9" s="5">
        <v>5</v>
      </c>
      <c r="E9" s="5" t="s">
        <v>275</v>
      </c>
      <c r="F9" s="5">
        <v>70.400000000000006</v>
      </c>
      <c r="G9">
        <v>736</v>
      </c>
      <c r="H9">
        <v>165</v>
      </c>
      <c r="I9">
        <v>24</v>
      </c>
      <c r="J9">
        <v>49</v>
      </c>
      <c r="K9">
        <f t="shared" si="0"/>
        <v>2.0909090909090908</v>
      </c>
      <c r="L9">
        <f t="shared" si="1"/>
        <v>0.46875</v>
      </c>
      <c r="M9">
        <f t="shared" si="2"/>
        <v>6.8181818181818191E-2</v>
      </c>
      <c r="N9">
        <f t="shared" si="3"/>
        <v>0.13920454545454547</v>
      </c>
      <c r="O9" s="6">
        <f t="shared" si="4"/>
        <v>2.7670454545454546</v>
      </c>
      <c r="P9" t="s">
        <v>77</v>
      </c>
      <c r="S9" t="s">
        <v>281</v>
      </c>
      <c r="T9" s="8">
        <f>O8</f>
        <v>6.0880681818181825</v>
      </c>
      <c r="U9" s="8">
        <f>O12</f>
        <v>3.1079545454545454</v>
      </c>
      <c r="V9" s="8">
        <f>O13</f>
        <v>7.7414772727272734</v>
      </c>
      <c r="W9" s="8">
        <f>O14</f>
        <v>5.9588068181818183</v>
      </c>
      <c r="X9" s="8">
        <f>O15</f>
        <v>4.3011363636363642</v>
      </c>
    </row>
    <row r="10" spans="1:24">
      <c r="A10" t="s">
        <v>269</v>
      </c>
      <c r="B10" t="s">
        <v>83</v>
      </c>
      <c r="C10" s="5">
        <v>1</v>
      </c>
      <c r="D10" s="5">
        <v>5</v>
      </c>
      <c r="E10" s="5" t="s">
        <v>275</v>
      </c>
      <c r="F10" s="5">
        <v>70.400000000000006</v>
      </c>
      <c r="G10">
        <v>1697</v>
      </c>
      <c r="H10">
        <v>243</v>
      </c>
      <c r="I10">
        <v>56</v>
      </c>
      <c r="J10">
        <v>179</v>
      </c>
      <c r="K10">
        <f t="shared" si="0"/>
        <v>4.8210227272727275</v>
      </c>
      <c r="L10">
        <f t="shared" si="1"/>
        <v>0.69034090909090917</v>
      </c>
      <c r="M10">
        <f t="shared" si="2"/>
        <v>0.15909090909090909</v>
      </c>
      <c r="N10">
        <f t="shared" si="3"/>
        <v>0.50852272727272729</v>
      </c>
      <c r="O10" s="6">
        <f t="shared" si="4"/>
        <v>6.1789772727272734</v>
      </c>
      <c r="P10" t="s">
        <v>83</v>
      </c>
      <c r="S10" t="s">
        <v>282</v>
      </c>
      <c r="T10" s="8">
        <f>O19</f>
        <v>6.1891891891891877</v>
      </c>
      <c r="U10" s="8">
        <f>O21</f>
        <v>9.2537537537537524</v>
      </c>
      <c r="V10" s="8">
        <f>O29</f>
        <v>5.3933933933933931</v>
      </c>
      <c r="W10" s="8">
        <f>O33</f>
        <v>8.4564564564564559</v>
      </c>
      <c r="X10" s="8">
        <f>O35</f>
        <v>10</v>
      </c>
    </row>
    <row r="11" spans="1:24">
      <c r="A11" t="s">
        <v>270</v>
      </c>
      <c r="B11" t="s">
        <v>83</v>
      </c>
      <c r="C11" s="5">
        <v>1</v>
      </c>
      <c r="D11" s="5">
        <v>10</v>
      </c>
      <c r="E11" s="5" t="s">
        <v>275</v>
      </c>
      <c r="F11" s="5">
        <v>70.400000000000006</v>
      </c>
      <c r="G11">
        <v>1869</v>
      </c>
      <c r="H11">
        <v>521</v>
      </c>
      <c r="I11">
        <v>54</v>
      </c>
      <c r="J11">
        <v>195</v>
      </c>
      <c r="K11">
        <f t="shared" si="0"/>
        <v>2.6548295454545454</v>
      </c>
      <c r="L11">
        <f t="shared" si="1"/>
        <v>0.74005681818181823</v>
      </c>
      <c r="M11">
        <f t="shared" si="2"/>
        <v>7.6704545454545456E-2</v>
      </c>
      <c r="N11">
        <f t="shared" si="3"/>
        <v>0.27698863636363635</v>
      </c>
      <c r="O11" s="6">
        <f t="shared" si="4"/>
        <v>3.7485795454545454</v>
      </c>
      <c r="P11" t="s">
        <v>83</v>
      </c>
      <c r="S11" t="s">
        <v>283</v>
      </c>
      <c r="T11" s="8">
        <f>O17</f>
        <v>9.4564564564564577</v>
      </c>
      <c r="U11" s="8">
        <f>O22</f>
        <v>9.4324324324324316</v>
      </c>
      <c r="V11" s="8">
        <f>O26</f>
        <v>8.8288288288288275</v>
      </c>
      <c r="W11" s="8">
        <f>O31</f>
        <v>3.8528528528528527</v>
      </c>
      <c r="X11" s="8">
        <f>O37</f>
        <v>13.483483483483482</v>
      </c>
    </row>
    <row r="12" spans="1:24">
      <c r="A12" t="s">
        <v>271</v>
      </c>
      <c r="B12" t="s">
        <v>89</v>
      </c>
      <c r="C12" s="5">
        <v>1</v>
      </c>
      <c r="D12" s="5">
        <v>10</v>
      </c>
      <c r="E12" s="5" t="s">
        <v>275</v>
      </c>
      <c r="F12" s="5">
        <v>70.400000000000006</v>
      </c>
      <c r="G12">
        <v>1690</v>
      </c>
      <c r="H12">
        <v>227</v>
      </c>
      <c r="I12">
        <v>83</v>
      </c>
      <c r="J12">
        <v>188</v>
      </c>
      <c r="K12">
        <f t="shared" si="0"/>
        <v>2.4005681818181821</v>
      </c>
      <c r="L12">
        <f t="shared" si="1"/>
        <v>0.32244318181818182</v>
      </c>
      <c r="M12">
        <f t="shared" si="2"/>
        <v>0.11789772727272728</v>
      </c>
      <c r="N12">
        <f t="shared" si="3"/>
        <v>0.26704545454545459</v>
      </c>
      <c r="O12" s="6">
        <f t="shared" si="4"/>
        <v>3.1079545454545454</v>
      </c>
      <c r="P12" t="s">
        <v>89</v>
      </c>
      <c r="S12" t="s">
        <v>286</v>
      </c>
      <c r="T12" s="8">
        <f>O11</f>
        <v>3.7485795454545454</v>
      </c>
      <c r="U12" s="8">
        <f>O25</f>
        <v>4.0585585585585582</v>
      </c>
      <c r="V12" s="8">
        <f>O27</f>
        <v>7.9519519519519521</v>
      </c>
      <c r="W12" s="8">
        <f>O34</f>
        <v>12.933933933933931</v>
      </c>
      <c r="X12" s="8">
        <f>O38</f>
        <v>5.3123123123123124</v>
      </c>
    </row>
    <row r="13" spans="1:24">
      <c r="A13" t="s">
        <v>272</v>
      </c>
      <c r="B13" t="s">
        <v>101</v>
      </c>
      <c r="C13" s="5">
        <v>1</v>
      </c>
      <c r="D13" s="5">
        <v>10</v>
      </c>
      <c r="E13" s="5" t="s">
        <v>275</v>
      </c>
      <c r="F13" s="5">
        <v>70.400000000000006</v>
      </c>
      <c r="G13">
        <v>4048</v>
      </c>
      <c r="H13">
        <v>620</v>
      </c>
      <c r="I13">
        <v>233</v>
      </c>
      <c r="J13">
        <v>549</v>
      </c>
      <c r="K13">
        <f t="shared" si="0"/>
        <v>5.75</v>
      </c>
      <c r="L13">
        <f t="shared" si="1"/>
        <v>0.88068181818181823</v>
      </c>
      <c r="M13">
        <f t="shared" si="2"/>
        <v>0.33096590909090912</v>
      </c>
      <c r="N13">
        <f t="shared" si="3"/>
        <v>0.77982954545454553</v>
      </c>
      <c r="O13" s="6">
        <f t="shared" si="4"/>
        <v>7.7414772727272734</v>
      </c>
      <c r="P13" t="s">
        <v>101</v>
      </c>
      <c r="S13" t="s">
        <v>284</v>
      </c>
      <c r="T13" s="8">
        <f>O20</f>
        <v>7.4474474474474475</v>
      </c>
      <c r="U13" s="8">
        <f>O23</f>
        <v>9.3108108108108105</v>
      </c>
      <c r="W13" s="8">
        <f>O32</f>
        <v>7.4624624624624616</v>
      </c>
      <c r="X13" s="8">
        <f>O36</f>
        <v>9.7537537537537542</v>
      </c>
    </row>
    <row r="14" spans="1:24">
      <c r="A14" t="s">
        <v>273</v>
      </c>
      <c r="B14" t="s">
        <v>113</v>
      </c>
      <c r="C14" s="5">
        <v>1</v>
      </c>
      <c r="D14" s="5">
        <v>10</v>
      </c>
      <c r="E14" s="5" t="s">
        <v>275</v>
      </c>
      <c r="F14" s="5">
        <v>70.400000000000006</v>
      </c>
      <c r="G14">
        <v>2919</v>
      </c>
      <c r="H14">
        <v>674</v>
      </c>
      <c r="I14">
        <v>127</v>
      </c>
      <c r="J14">
        <v>475</v>
      </c>
      <c r="K14">
        <f t="shared" si="0"/>
        <v>4.1463068181818183</v>
      </c>
      <c r="L14">
        <f t="shared" si="1"/>
        <v>0.95738636363636376</v>
      </c>
      <c r="M14">
        <f t="shared" si="2"/>
        <v>0.18039772727272729</v>
      </c>
      <c r="N14">
        <f t="shared" si="3"/>
        <v>0.67471590909090917</v>
      </c>
      <c r="O14" s="6">
        <f t="shared" si="4"/>
        <v>5.9588068181818183</v>
      </c>
      <c r="P14" t="s">
        <v>113</v>
      </c>
      <c r="S14" t="s">
        <v>285</v>
      </c>
      <c r="T14" s="8">
        <f>O18</f>
        <v>8.5420420420420413</v>
      </c>
      <c r="U14" s="8">
        <f>O24</f>
        <v>9.8063063063063058</v>
      </c>
      <c r="V14" s="8">
        <f>O28</f>
        <v>5.6606606606606604</v>
      </c>
      <c r="W14" s="8">
        <f>O30</f>
        <v>2.6156156156156154</v>
      </c>
    </row>
    <row r="15" spans="1:24">
      <c r="A15" t="s">
        <v>274</v>
      </c>
      <c r="B15" t="s">
        <v>125</v>
      </c>
      <c r="C15" s="5">
        <v>1</v>
      </c>
      <c r="D15" s="5">
        <v>10</v>
      </c>
      <c r="E15" s="5" t="s">
        <v>275</v>
      </c>
      <c r="F15" s="5">
        <v>70.400000000000006</v>
      </c>
      <c r="G15">
        <v>1999</v>
      </c>
      <c r="H15">
        <v>662</v>
      </c>
      <c r="I15">
        <v>46</v>
      </c>
      <c r="J15">
        <v>321</v>
      </c>
      <c r="K15">
        <f t="shared" si="0"/>
        <v>2.8394886363636367</v>
      </c>
      <c r="L15">
        <f t="shared" si="1"/>
        <v>0.94034090909090917</v>
      </c>
      <c r="M15">
        <f t="shared" si="2"/>
        <v>6.5340909090909088E-2</v>
      </c>
      <c r="N15">
        <f t="shared" si="3"/>
        <v>0.45596590909090912</v>
      </c>
      <c r="O15" s="6">
        <f t="shared" si="4"/>
        <v>4.3011363636363642</v>
      </c>
      <c r="P15" t="s">
        <v>125</v>
      </c>
    </row>
    <row r="16" spans="1:24">
      <c r="C16" s="5"/>
      <c r="D16" s="5"/>
      <c r="E16" s="5"/>
      <c r="F16" s="5"/>
      <c r="O16" s="6"/>
      <c r="T16">
        <v>0</v>
      </c>
      <c r="U16">
        <v>6.25</v>
      </c>
      <c r="V16">
        <v>11</v>
      </c>
      <c r="W16">
        <v>21</v>
      </c>
      <c r="X16">
        <v>32</v>
      </c>
    </row>
    <row r="17" spans="1:24">
      <c r="A17" s="11" t="s">
        <v>306</v>
      </c>
      <c r="B17" s="11" t="s">
        <v>81</v>
      </c>
      <c r="C17" s="5">
        <v>1</v>
      </c>
      <c r="D17" s="5">
        <v>10</v>
      </c>
      <c r="E17" s="5" t="s">
        <v>275</v>
      </c>
      <c r="F17" s="5">
        <v>66.599999999999994</v>
      </c>
      <c r="G17" s="12">
        <v>4648</v>
      </c>
      <c r="H17" s="12">
        <v>870</v>
      </c>
      <c r="I17" s="12">
        <v>235</v>
      </c>
      <c r="J17" s="12">
        <v>545</v>
      </c>
      <c r="K17">
        <f>(G17/((F17*D17)/1000))/1000</f>
        <v>6.9789789789789785</v>
      </c>
      <c r="L17">
        <f>(H17/((F17*D17)/1000))/1000</f>
        <v>1.3063063063063061</v>
      </c>
      <c r="M17">
        <f>(I17/((F17*D17)/1000))/1000</f>
        <v>0.35285285285285284</v>
      </c>
      <c r="N17">
        <f>(J17/((F17*D17)/1000))/1000</f>
        <v>0.81831831831831825</v>
      </c>
      <c r="O17" s="6">
        <f>K17+L17+M17+N17</f>
        <v>9.4564564564564577</v>
      </c>
      <c r="P17" s="12" t="s">
        <v>81</v>
      </c>
      <c r="S17" t="s">
        <v>13</v>
      </c>
      <c r="T17" s="8">
        <f>AVERAGE(T9:T11)</f>
        <v>7.2445712758212757</v>
      </c>
      <c r="U17" s="8">
        <f>AVERAGE(U9:U11)</f>
        <v>7.2647135772135769</v>
      </c>
      <c r="V17" s="8">
        <f>AVERAGE(V9:V11)</f>
        <v>7.3212331649831652</v>
      </c>
      <c r="W17" s="8">
        <f>AVERAGE(W9:W11)</f>
        <v>6.0893720424970423</v>
      </c>
      <c r="X17" s="8">
        <f>AVERAGE(X9:X11)</f>
        <v>9.2615399490399479</v>
      </c>
    </row>
    <row r="18" spans="1:24">
      <c r="A18" s="11" t="s">
        <v>307</v>
      </c>
      <c r="B18" s="11" t="s">
        <v>87</v>
      </c>
      <c r="C18" s="5">
        <v>1</v>
      </c>
      <c r="D18" s="5">
        <v>10</v>
      </c>
      <c r="E18" s="5" t="s">
        <v>275</v>
      </c>
      <c r="F18" s="5">
        <v>66.599999999999994</v>
      </c>
      <c r="G18" s="12">
        <v>4323</v>
      </c>
      <c r="H18" s="12">
        <v>729</v>
      </c>
      <c r="I18" s="12">
        <v>165</v>
      </c>
      <c r="J18" s="12">
        <v>472</v>
      </c>
      <c r="K18">
        <f t="shared" ref="K18:K41" si="5">(G18/((F18*D18)/1000))/1000</f>
        <v>6.4909909909909906</v>
      </c>
      <c r="L18">
        <f t="shared" ref="L18:L41" si="6">(H18/((F18*D18)/1000))/1000</f>
        <v>1.0945945945945945</v>
      </c>
      <c r="M18">
        <f t="shared" ref="M18:M41" si="7">(I18/((F18*D18)/1000))/1000</f>
        <v>0.24774774774774772</v>
      </c>
      <c r="N18">
        <f t="shared" ref="N18:N41" si="8">(J18/((F18*D18)/1000))/1000</f>
        <v>0.70870870870870861</v>
      </c>
      <c r="O18" s="6">
        <f t="shared" ref="O18:O41" si="9">K18+L18+M18+N18</f>
        <v>8.5420420420420413</v>
      </c>
      <c r="P18" s="12" t="s">
        <v>87</v>
      </c>
      <c r="S18" t="s">
        <v>14</v>
      </c>
      <c r="T18" s="8">
        <f>AVERAGE(T12:T14)</f>
        <v>6.5793563449813446</v>
      </c>
      <c r="U18" s="8">
        <f>AVERAGE(U12:U14)</f>
        <v>7.725225225225226</v>
      </c>
      <c r="V18" s="8">
        <f>AVERAGE(V12:V14)</f>
        <v>6.8063063063063058</v>
      </c>
      <c r="W18" s="8">
        <f>AVERAGE(W12:W14)</f>
        <v>7.6706706706706695</v>
      </c>
      <c r="X18" s="8">
        <f>AVERAGE(X12:X14)</f>
        <v>7.5330330330330337</v>
      </c>
    </row>
    <row r="19" spans="1:24">
      <c r="A19" s="11" t="s">
        <v>308</v>
      </c>
      <c r="B19" s="11" t="s">
        <v>79</v>
      </c>
      <c r="C19" s="5">
        <v>1</v>
      </c>
      <c r="D19" s="5">
        <v>10</v>
      </c>
      <c r="E19" s="5" t="s">
        <v>275</v>
      </c>
      <c r="F19" s="5">
        <v>66.599999999999994</v>
      </c>
      <c r="G19" s="12">
        <v>3055</v>
      </c>
      <c r="H19" s="12">
        <v>515</v>
      </c>
      <c r="I19" s="12">
        <v>160</v>
      </c>
      <c r="J19" s="12">
        <v>392</v>
      </c>
      <c r="K19">
        <f t="shared" si="5"/>
        <v>4.5870870870870863</v>
      </c>
      <c r="L19">
        <f t="shared" si="6"/>
        <v>0.77327327327327322</v>
      </c>
      <c r="M19">
        <f t="shared" si="7"/>
        <v>0.24024024024024024</v>
      </c>
      <c r="N19">
        <f t="shared" si="8"/>
        <v>0.58858858858858853</v>
      </c>
      <c r="O19" s="6">
        <f t="shared" si="9"/>
        <v>6.1891891891891877</v>
      </c>
      <c r="P19" s="12" t="s">
        <v>79</v>
      </c>
    </row>
    <row r="20" spans="1:24">
      <c r="A20" s="11" t="s">
        <v>309</v>
      </c>
      <c r="B20" s="11" t="s">
        <v>85</v>
      </c>
      <c r="C20" s="5">
        <v>1</v>
      </c>
      <c r="D20" s="5">
        <v>10</v>
      </c>
      <c r="E20" s="5" t="s">
        <v>275</v>
      </c>
      <c r="F20" s="5">
        <v>66.599999999999994</v>
      </c>
      <c r="G20" s="12">
        <v>3647</v>
      </c>
      <c r="H20" s="12">
        <v>719</v>
      </c>
      <c r="I20" s="12">
        <v>156</v>
      </c>
      <c r="J20" s="12">
        <v>438</v>
      </c>
      <c r="K20">
        <f t="shared" si="5"/>
        <v>5.4759759759759756</v>
      </c>
      <c r="L20">
        <f t="shared" si="6"/>
        <v>1.0795795795795795</v>
      </c>
      <c r="M20">
        <f t="shared" si="7"/>
        <v>0.2342342342342342</v>
      </c>
      <c r="N20">
        <f t="shared" si="8"/>
        <v>0.6576576576576576</v>
      </c>
      <c r="O20" s="6">
        <f t="shared" si="9"/>
        <v>7.4474474474474475</v>
      </c>
      <c r="P20" s="12" t="s">
        <v>85</v>
      </c>
      <c r="T20">
        <f>STDEV(T9:T11)</f>
        <v>1.9162159073987663</v>
      </c>
      <c r="U20">
        <f>STDEV(U9:U11)</f>
        <v>3.600967335819123</v>
      </c>
      <c r="V20">
        <f>STDEV(V9:V11)</f>
        <v>1.7558496491247708</v>
      </c>
      <c r="W20">
        <f>STDEV(W9:W11)</f>
        <v>2.3045774001166435</v>
      </c>
      <c r="X20">
        <f>STDEV(X9:X11)</f>
        <v>4.6355007380529125</v>
      </c>
    </row>
    <row r="21" spans="1:24">
      <c r="A21" s="11" t="s">
        <v>310</v>
      </c>
      <c r="B21" s="11" t="s">
        <v>91</v>
      </c>
      <c r="C21" s="5">
        <v>1</v>
      </c>
      <c r="D21" s="5">
        <v>10</v>
      </c>
      <c r="E21" s="5" t="s">
        <v>275</v>
      </c>
      <c r="F21" s="5">
        <v>66.599999999999994</v>
      </c>
      <c r="G21" s="12">
        <v>4431</v>
      </c>
      <c r="H21" s="12">
        <v>828</v>
      </c>
      <c r="I21" s="12">
        <v>406</v>
      </c>
      <c r="J21" s="12">
        <v>498</v>
      </c>
      <c r="K21">
        <f t="shared" si="5"/>
        <v>6.6531531531531529</v>
      </c>
      <c r="L21">
        <f t="shared" si="6"/>
        <v>1.2432432432432432</v>
      </c>
      <c r="M21">
        <f t="shared" si="7"/>
        <v>0.60960960960960964</v>
      </c>
      <c r="N21">
        <f t="shared" si="8"/>
        <v>0.74774774774774766</v>
      </c>
      <c r="O21" s="6">
        <f t="shared" si="9"/>
        <v>9.2537537537537524</v>
      </c>
      <c r="P21" s="12" t="s">
        <v>91</v>
      </c>
      <c r="T21">
        <f>STDEV(T12:T14)</f>
        <v>2.5118732647534854</v>
      </c>
      <c r="U21">
        <f>STDEV(U12:U14)</f>
        <v>3.185076495132793</v>
      </c>
      <c r="V21">
        <f>STDEV(V12:V14)</f>
        <v>1.6201876097457584</v>
      </c>
      <c r="W21">
        <f>STDEV(W12:W14)</f>
        <v>5.162309194828393</v>
      </c>
      <c r="X21">
        <f>STDEV(X12:X14)</f>
        <v>3.1405733614861946</v>
      </c>
    </row>
    <row r="22" spans="1:24">
      <c r="A22" s="11" t="s">
        <v>311</v>
      </c>
      <c r="B22" s="11" t="s">
        <v>93</v>
      </c>
      <c r="C22" s="5">
        <v>1</v>
      </c>
      <c r="D22" s="5">
        <v>10</v>
      </c>
      <c r="E22" s="5" t="s">
        <v>275</v>
      </c>
      <c r="F22" s="5">
        <v>66.599999999999994</v>
      </c>
      <c r="G22" s="12">
        <v>4554</v>
      </c>
      <c r="H22" s="12">
        <v>866</v>
      </c>
      <c r="I22" s="12">
        <v>321</v>
      </c>
      <c r="J22" s="12">
        <v>541</v>
      </c>
      <c r="K22">
        <f t="shared" si="5"/>
        <v>6.8378378378378377</v>
      </c>
      <c r="L22">
        <f t="shared" si="6"/>
        <v>1.3003003003003002</v>
      </c>
      <c r="M22">
        <f t="shared" si="7"/>
        <v>0.48198198198198194</v>
      </c>
      <c r="N22">
        <f t="shared" si="8"/>
        <v>0.81231231231231227</v>
      </c>
      <c r="O22" s="6">
        <f t="shared" si="9"/>
        <v>9.4324324324324316</v>
      </c>
      <c r="P22" s="12" t="s">
        <v>93</v>
      </c>
    </row>
    <row r="23" spans="1:24">
      <c r="A23" s="11" t="s">
        <v>312</v>
      </c>
      <c r="B23" s="11" t="s">
        <v>97</v>
      </c>
      <c r="C23" s="5">
        <v>1</v>
      </c>
      <c r="D23" s="5">
        <v>10</v>
      </c>
      <c r="E23" s="5" t="s">
        <v>275</v>
      </c>
      <c r="F23" s="5">
        <v>66.599999999999994</v>
      </c>
      <c r="G23" s="12">
        <v>4537</v>
      </c>
      <c r="H23" s="12">
        <v>808</v>
      </c>
      <c r="I23" s="12">
        <v>373</v>
      </c>
      <c r="J23" s="12">
        <v>483</v>
      </c>
      <c r="K23">
        <f t="shared" si="5"/>
        <v>6.8123123123123124</v>
      </c>
      <c r="L23">
        <f t="shared" si="6"/>
        <v>1.213213213213213</v>
      </c>
      <c r="M23">
        <f t="shared" si="7"/>
        <v>0.56006006006005993</v>
      </c>
      <c r="N23">
        <f t="shared" si="8"/>
        <v>0.72522522522522515</v>
      </c>
      <c r="O23" s="6">
        <f t="shared" si="9"/>
        <v>9.3108108108108105</v>
      </c>
      <c r="P23" s="12" t="s">
        <v>97</v>
      </c>
    </row>
    <row r="24" spans="1:24">
      <c r="A24" s="11" t="s">
        <v>313</v>
      </c>
      <c r="B24" s="11" t="s">
        <v>99</v>
      </c>
      <c r="C24" s="5">
        <v>1</v>
      </c>
      <c r="D24" s="5">
        <v>10</v>
      </c>
      <c r="E24" s="5" t="s">
        <v>275</v>
      </c>
      <c r="F24" s="5">
        <v>66.599999999999994</v>
      </c>
      <c r="G24" s="12">
        <v>4799</v>
      </c>
      <c r="H24" s="12">
        <v>883</v>
      </c>
      <c r="I24" s="12">
        <v>395</v>
      </c>
      <c r="J24" s="12">
        <v>454</v>
      </c>
      <c r="K24">
        <f t="shared" si="5"/>
        <v>7.2057057057057055</v>
      </c>
      <c r="L24">
        <f t="shared" si="6"/>
        <v>1.3258258258258258</v>
      </c>
      <c r="M24">
        <f t="shared" si="7"/>
        <v>0.5930930930930931</v>
      </c>
      <c r="N24">
        <f t="shared" si="8"/>
        <v>0.68168168168168164</v>
      </c>
      <c r="O24" s="6">
        <f t="shared" si="9"/>
        <v>9.8063063063063058</v>
      </c>
      <c r="P24" s="12" t="s">
        <v>99</v>
      </c>
    </row>
    <row r="25" spans="1:24">
      <c r="A25" s="11" t="s">
        <v>314</v>
      </c>
      <c r="B25" s="11" t="s">
        <v>95</v>
      </c>
      <c r="C25" s="5">
        <v>1</v>
      </c>
      <c r="D25" s="5">
        <v>10</v>
      </c>
      <c r="E25" s="5" t="s">
        <v>275</v>
      </c>
      <c r="F25" s="5">
        <v>66.599999999999994</v>
      </c>
      <c r="G25" s="12">
        <v>2024</v>
      </c>
      <c r="H25" s="12">
        <v>359</v>
      </c>
      <c r="I25" s="12">
        <v>144</v>
      </c>
      <c r="J25" s="12">
        <v>176</v>
      </c>
      <c r="K25">
        <f t="shared" si="5"/>
        <v>3.0390390390390389</v>
      </c>
      <c r="L25">
        <f t="shared" si="6"/>
        <v>0.53903903903903905</v>
      </c>
      <c r="M25">
        <f t="shared" si="7"/>
        <v>0.2162162162162162</v>
      </c>
      <c r="N25">
        <f t="shared" si="8"/>
        <v>0.26426426426426425</v>
      </c>
      <c r="O25" s="6">
        <f t="shared" si="9"/>
        <v>4.0585585585585582</v>
      </c>
      <c r="P25" s="12" t="s">
        <v>95</v>
      </c>
    </row>
    <row r="26" spans="1:24">
      <c r="A26" s="11" t="s">
        <v>315</v>
      </c>
      <c r="B26" s="11" t="s">
        <v>105</v>
      </c>
      <c r="C26" s="5">
        <v>1</v>
      </c>
      <c r="D26" s="5">
        <v>10</v>
      </c>
      <c r="E26" s="5" t="s">
        <v>275</v>
      </c>
      <c r="F26" s="5">
        <v>66.599999999999994</v>
      </c>
      <c r="G26" s="12">
        <v>4324</v>
      </c>
      <c r="H26" s="12">
        <v>831</v>
      </c>
      <c r="I26" s="12">
        <v>214</v>
      </c>
      <c r="J26" s="12">
        <v>511</v>
      </c>
      <c r="K26">
        <f t="shared" si="5"/>
        <v>6.4924924924924916</v>
      </c>
      <c r="L26">
        <f t="shared" si="6"/>
        <v>1.2477477477477479</v>
      </c>
      <c r="M26">
        <f t="shared" si="7"/>
        <v>0.3213213213213213</v>
      </c>
      <c r="N26">
        <f t="shared" si="8"/>
        <v>0.76726726726726724</v>
      </c>
      <c r="O26" s="6">
        <f t="shared" si="9"/>
        <v>8.8288288288288275</v>
      </c>
      <c r="P26" s="12" t="s">
        <v>105</v>
      </c>
      <c r="S26" t="s">
        <v>395</v>
      </c>
      <c r="T26" t="s">
        <v>396</v>
      </c>
    </row>
    <row r="27" spans="1:24">
      <c r="A27" s="11" t="s">
        <v>316</v>
      </c>
      <c r="B27" s="11" t="s">
        <v>107</v>
      </c>
      <c r="C27" s="5">
        <v>1</v>
      </c>
      <c r="D27" s="5">
        <v>10</v>
      </c>
      <c r="E27" s="5" t="s">
        <v>275</v>
      </c>
      <c r="F27" s="5">
        <v>66.599999999999994</v>
      </c>
      <c r="G27" s="12">
        <v>3923</v>
      </c>
      <c r="H27" s="12">
        <v>639</v>
      </c>
      <c r="I27" s="12">
        <v>299</v>
      </c>
      <c r="J27" s="12">
        <v>435</v>
      </c>
      <c r="K27">
        <f t="shared" si="5"/>
        <v>5.8903903903903903</v>
      </c>
      <c r="L27">
        <f t="shared" si="6"/>
        <v>0.95945945945945932</v>
      </c>
      <c r="M27">
        <f t="shared" si="7"/>
        <v>0.44894894894894888</v>
      </c>
      <c r="N27">
        <f t="shared" si="8"/>
        <v>0.65315315315315303</v>
      </c>
      <c r="O27" s="6">
        <f t="shared" si="9"/>
        <v>7.9519519519519521</v>
      </c>
      <c r="P27" s="12" t="s">
        <v>107</v>
      </c>
      <c r="R27" t="s">
        <v>281</v>
      </c>
      <c r="S27" s="8">
        <f>O15</f>
        <v>4.3011363636363642</v>
      </c>
      <c r="T27" s="8">
        <f>O39</f>
        <v>7.8408408408408397</v>
      </c>
    </row>
    <row r="28" spans="1:24">
      <c r="A28" s="11" t="s">
        <v>317</v>
      </c>
      <c r="B28" s="11" t="s">
        <v>111</v>
      </c>
      <c r="C28" s="5">
        <v>1</v>
      </c>
      <c r="D28" s="5">
        <v>10</v>
      </c>
      <c r="E28" s="5" t="s">
        <v>275</v>
      </c>
      <c r="F28" s="5">
        <v>66.599999999999994</v>
      </c>
      <c r="G28" s="12">
        <v>2763</v>
      </c>
      <c r="H28" s="12">
        <v>509</v>
      </c>
      <c r="I28" s="12">
        <v>222</v>
      </c>
      <c r="J28" s="12">
        <v>276</v>
      </c>
      <c r="K28">
        <f t="shared" si="5"/>
        <v>4.1486486486486482</v>
      </c>
      <c r="L28">
        <f t="shared" si="6"/>
        <v>0.76426426426426419</v>
      </c>
      <c r="M28">
        <f t="shared" si="7"/>
        <v>0.33333333333333331</v>
      </c>
      <c r="N28">
        <f t="shared" si="8"/>
        <v>0.4144144144144144</v>
      </c>
      <c r="O28" s="6">
        <f t="shared" si="9"/>
        <v>5.6606606606606604</v>
      </c>
      <c r="P28" s="12" t="s">
        <v>111</v>
      </c>
      <c r="R28" t="s">
        <v>282</v>
      </c>
      <c r="S28" s="8">
        <f>O35</f>
        <v>10</v>
      </c>
      <c r="T28" s="8">
        <f>O40</f>
        <v>1.4189189189189189</v>
      </c>
    </row>
    <row r="29" spans="1:24">
      <c r="A29" s="11" t="s">
        <v>318</v>
      </c>
      <c r="B29" s="11" t="s">
        <v>103</v>
      </c>
      <c r="C29" s="5">
        <v>1</v>
      </c>
      <c r="D29" s="5">
        <v>10</v>
      </c>
      <c r="E29" s="5" t="s">
        <v>275</v>
      </c>
      <c r="F29" s="5">
        <v>66.599999999999994</v>
      </c>
      <c r="G29" s="12">
        <v>2576</v>
      </c>
      <c r="H29" s="12">
        <v>499</v>
      </c>
      <c r="I29" s="12">
        <v>170</v>
      </c>
      <c r="J29" s="12">
        <v>347</v>
      </c>
      <c r="K29">
        <f t="shared" si="5"/>
        <v>3.8678678678678677</v>
      </c>
      <c r="L29">
        <f t="shared" si="6"/>
        <v>0.74924924924924929</v>
      </c>
      <c r="M29">
        <f t="shared" si="7"/>
        <v>0.25525525525525522</v>
      </c>
      <c r="N29">
        <f t="shared" si="8"/>
        <v>0.52102102102102099</v>
      </c>
      <c r="O29" s="6">
        <f t="shared" si="9"/>
        <v>5.3933933933933931</v>
      </c>
      <c r="P29" s="12" t="s">
        <v>103</v>
      </c>
      <c r="R29" t="s">
        <v>283</v>
      </c>
      <c r="S29" s="8">
        <f>O37</f>
        <v>13.483483483483482</v>
      </c>
      <c r="T29" s="8">
        <f>O41</f>
        <v>25.246246246246244</v>
      </c>
    </row>
    <row r="30" spans="1:24">
      <c r="A30" s="11" t="s">
        <v>319</v>
      </c>
      <c r="B30" s="11" t="s">
        <v>123</v>
      </c>
      <c r="C30" s="5">
        <v>1</v>
      </c>
      <c r="D30" s="5">
        <v>10</v>
      </c>
      <c r="E30" s="5" t="s">
        <v>275</v>
      </c>
      <c r="F30" s="5">
        <v>66.599999999999994</v>
      </c>
      <c r="G30" s="12">
        <v>1157</v>
      </c>
      <c r="H30" s="12">
        <v>335</v>
      </c>
      <c r="I30" s="12">
        <v>64</v>
      </c>
      <c r="J30" s="12">
        <v>186</v>
      </c>
      <c r="K30">
        <f t="shared" si="5"/>
        <v>1.7372372372372371</v>
      </c>
      <c r="L30">
        <f t="shared" si="6"/>
        <v>0.50300300300300294</v>
      </c>
      <c r="M30">
        <f t="shared" si="7"/>
        <v>9.6096096096096095E-2</v>
      </c>
      <c r="N30">
        <f t="shared" si="8"/>
        <v>0.27927927927927926</v>
      </c>
      <c r="O30" s="6">
        <f t="shared" si="9"/>
        <v>2.6156156156156154</v>
      </c>
      <c r="P30" s="12" t="s">
        <v>123</v>
      </c>
    </row>
    <row r="31" spans="1:24">
      <c r="A31" s="11" t="s">
        <v>320</v>
      </c>
      <c r="B31" s="11" t="s">
        <v>117</v>
      </c>
      <c r="C31" s="5">
        <v>1</v>
      </c>
      <c r="D31" s="5">
        <v>10</v>
      </c>
      <c r="E31" s="5" t="s">
        <v>275</v>
      </c>
      <c r="F31" s="5">
        <v>66.599999999999994</v>
      </c>
      <c r="G31" s="12">
        <v>1770</v>
      </c>
      <c r="H31" s="12">
        <v>413</v>
      </c>
      <c r="I31" s="12">
        <v>175</v>
      </c>
      <c r="J31" s="12">
        <v>208</v>
      </c>
      <c r="K31">
        <f t="shared" si="5"/>
        <v>2.6576576576576576</v>
      </c>
      <c r="L31">
        <f t="shared" si="6"/>
        <v>0.62012012012012008</v>
      </c>
      <c r="M31">
        <f t="shared" si="7"/>
        <v>0.26276276276276272</v>
      </c>
      <c r="N31">
        <f t="shared" si="8"/>
        <v>0.31231231231231232</v>
      </c>
      <c r="O31" s="6">
        <f t="shared" si="9"/>
        <v>3.8528528528528527</v>
      </c>
      <c r="P31" s="12" t="s">
        <v>117</v>
      </c>
    </row>
    <row r="32" spans="1:24">
      <c r="A32" s="11" t="s">
        <v>321</v>
      </c>
      <c r="B32" s="11" t="s">
        <v>121</v>
      </c>
      <c r="C32" s="5">
        <v>1</v>
      </c>
      <c r="D32" s="5">
        <v>10</v>
      </c>
      <c r="E32" s="5" t="s">
        <v>275</v>
      </c>
      <c r="F32" s="5">
        <v>66.599999999999994</v>
      </c>
      <c r="G32" s="12">
        <v>3236</v>
      </c>
      <c r="H32" s="12">
        <v>988</v>
      </c>
      <c r="I32" s="12">
        <v>252</v>
      </c>
      <c r="J32" s="12">
        <v>494</v>
      </c>
      <c r="K32">
        <f t="shared" si="5"/>
        <v>4.8588588588588584</v>
      </c>
      <c r="L32">
        <f t="shared" si="6"/>
        <v>1.4834834834834836</v>
      </c>
      <c r="M32">
        <f t="shared" si="7"/>
        <v>0.3783783783783784</v>
      </c>
      <c r="N32">
        <f t="shared" si="8"/>
        <v>0.74174174174174179</v>
      </c>
      <c r="O32" s="6">
        <f t="shared" si="9"/>
        <v>7.4624624624624616</v>
      </c>
      <c r="P32" s="12" t="s">
        <v>121</v>
      </c>
    </row>
    <row r="33" spans="1:16">
      <c r="A33" s="11" t="s">
        <v>322</v>
      </c>
      <c r="B33" s="11" t="s">
        <v>115</v>
      </c>
      <c r="C33" s="5">
        <v>1</v>
      </c>
      <c r="D33" s="5">
        <v>10</v>
      </c>
      <c r="E33" s="5" t="s">
        <v>275</v>
      </c>
      <c r="F33" s="5">
        <v>66.599999999999994</v>
      </c>
      <c r="G33" s="12">
        <v>3790</v>
      </c>
      <c r="H33" s="12">
        <v>998</v>
      </c>
      <c r="I33" s="12">
        <v>312</v>
      </c>
      <c r="J33" s="12">
        <v>532</v>
      </c>
      <c r="K33">
        <f t="shared" si="5"/>
        <v>5.6906906906906904</v>
      </c>
      <c r="L33">
        <f t="shared" si="6"/>
        <v>1.4984984984984986</v>
      </c>
      <c r="M33">
        <f t="shared" si="7"/>
        <v>0.4684684684684684</v>
      </c>
      <c r="N33">
        <f t="shared" si="8"/>
        <v>0.79879879879879878</v>
      </c>
      <c r="O33" s="6">
        <f t="shared" si="9"/>
        <v>8.4564564564564559</v>
      </c>
      <c r="P33" s="12" t="s">
        <v>115</v>
      </c>
    </row>
    <row r="34" spans="1:16">
      <c r="A34" s="11" t="s">
        <v>323</v>
      </c>
      <c r="B34" s="11" t="s">
        <v>119</v>
      </c>
      <c r="C34" s="5">
        <v>1</v>
      </c>
      <c r="D34" s="5">
        <v>10</v>
      </c>
      <c r="E34" s="5" t="s">
        <v>275</v>
      </c>
      <c r="F34" s="5">
        <v>66.599999999999994</v>
      </c>
      <c r="G34" s="12">
        <v>6353</v>
      </c>
      <c r="H34" s="12">
        <v>844</v>
      </c>
      <c r="I34" s="12">
        <v>910</v>
      </c>
      <c r="J34" s="12">
        <v>507</v>
      </c>
      <c r="K34">
        <f t="shared" si="5"/>
        <v>9.5390390390390376</v>
      </c>
      <c r="L34">
        <f t="shared" si="6"/>
        <v>1.2672672672672673</v>
      </c>
      <c r="M34">
        <f t="shared" si="7"/>
        <v>1.3663663663663663</v>
      </c>
      <c r="N34">
        <f t="shared" si="8"/>
        <v>0.76126126126126126</v>
      </c>
      <c r="O34" s="6">
        <f t="shared" si="9"/>
        <v>12.933933933933931</v>
      </c>
      <c r="P34" s="12" t="s">
        <v>119</v>
      </c>
    </row>
    <row r="35" spans="1:16">
      <c r="A35" s="11" t="s">
        <v>324</v>
      </c>
      <c r="B35" s="11" t="s">
        <v>128</v>
      </c>
      <c r="C35" s="5">
        <v>1</v>
      </c>
      <c r="D35" s="5">
        <v>10</v>
      </c>
      <c r="E35" s="5" t="s">
        <v>275</v>
      </c>
      <c r="F35" s="5">
        <v>66.599999999999994</v>
      </c>
      <c r="G35" s="12">
        <v>3747</v>
      </c>
      <c r="H35" s="12">
        <v>1941</v>
      </c>
      <c r="I35" s="12">
        <v>264</v>
      </c>
      <c r="J35" s="12">
        <v>708</v>
      </c>
      <c r="K35">
        <f t="shared" si="5"/>
        <v>5.6261261261261257</v>
      </c>
      <c r="L35">
        <f t="shared" si="6"/>
        <v>2.9144144144144142</v>
      </c>
      <c r="M35">
        <f t="shared" si="7"/>
        <v>0.39639639639639634</v>
      </c>
      <c r="N35">
        <f t="shared" si="8"/>
        <v>1.0630630630630631</v>
      </c>
      <c r="O35" s="6">
        <f t="shared" si="9"/>
        <v>10</v>
      </c>
      <c r="P35" s="12" t="s">
        <v>128</v>
      </c>
    </row>
    <row r="36" spans="1:16">
      <c r="A36" s="11" t="s">
        <v>325</v>
      </c>
      <c r="B36" s="11" t="s">
        <v>134</v>
      </c>
      <c r="C36" s="5">
        <v>1</v>
      </c>
      <c r="D36" s="5">
        <v>10</v>
      </c>
      <c r="E36" s="5" t="s">
        <v>275</v>
      </c>
      <c r="F36" s="5">
        <v>66.599999999999994</v>
      </c>
      <c r="G36" s="12">
        <v>3017</v>
      </c>
      <c r="H36" s="12">
        <v>2212</v>
      </c>
      <c r="I36" s="12">
        <v>189</v>
      </c>
      <c r="J36" s="12">
        <v>1078</v>
      </c>
      <c r="K36">
        <f t="shared" si="5"/>
        <v>4.53003003003003</v>
      </c>
      <c r="L36">
        <f t="shared" si="6"/>
        <v>3.3213213213213213</v>
      </c>
      <c r="M36">
        <f t="shared" si="7"/>
        <v>0.28378378378378377</v>
      </c>
      <c r="N36">
        <f t="shared" si="8"/>
        <v>1.6186186186186184</v>
      </c>
      <c r="O36" s="6">
        <f t="shared" si="9"/>
        <v>9.7537537537537542</v>
      </c>
      <c r="P36" s="12" t="s">
        <v>134</v>
      </c>
    </row>
    <row r="37" spans="1:16">
      <c r="A37" s="11" t="s">
        <v>326</v>
      </c>
      <c r="B37" s="11" t="s">
        <v>130</v>
      </c>
      <c r="C37" s="5">
        <v>1</v>
      </c>
      <c r="D37" s="5">
        <v>10</v>
      </c>
      <c r="E37" s="5" t="s">
        <v>275</v>
      </c>
      <c r="F37" s="5">
        <v>66.599999999999994</v>
      </c>
      <c r="G37" s="12">
        <v>5456</v>
      </c>
      <c r="H37" s="12">
        <v>2283</v>
      </c>
      <c r="I37" s="12">
        <v>251</v>
      </c>
      <c r="J37" s="12">
        <v>990</v>
      </c>
      <c r="K37">
        <f t="shared" si="5"/>
        <v>8.1921921921921914</v>
      </c>
      <c r="L37">
        <f t="shared" si="6"/>
        <v>3.4279279279279278</v>
      </c>
      <c r="M37">
        <f t="shared" si="7"/>
        <v>0.37687687687687688</v>
      </c>
      <c r="N37">
        <f t="shared" si="8"/>
        <v>1.4864864864864864</v>
      </c>
      <c r="O37" s="6">
        <f t="shared" si="9"/>
        <v>13.483483483483482</v>
      </c>
      <c r="P37" s="12" t="s">
        <v>130</v>
      </c>
    </row>
    <row r="38" spans="1:16">
      <c r="A38" s="11" t="s">
        <v>327</v>
      </c>
      <c r="B38" s="11" t="s">
        <v>132</v>
      </c>
      <c r="C38" s="5">
        <v>1</v>
      </c>
      <c r="D38" s="5">
        <v>10</v>
      </c>
      <c r="E38" s="5" t="s">
        <v>275</v>
      </c>
      <c r="F38" s="5">
        <v>66.599999999999994</v>
      </c>
      <c r="G38" s="12">
        <v>1720</v>
      </c>
      <c r="H38" s="12">
        <v>1194</v>
      </c>
      <c r="I38" s="12">
        <v>111</v>
      </c>
      <c r="J38" s="12">
        <v>513</v>
      </c>
      <c r="K38">
        <f t="shared" si="5"/>
        <v>2.5825825825825821</v>
      </c>
      <c r="L38">
        <f t="shared" si="6"/>
        <v>1.7927927927927927</v>
      </c>
      <c r="M38">
        <f t="shared" si="7"/>
        <v>0.16666666666666666</v>
      </c>
      <c r="N38">
        <f t="shared" si="8"/>
        <v>0.77027027027027017</v>
      </c>
      <c r="O38" s="6">
        <f t="shared" si="9"/>
        <v>5.3123123123123124</v>
      </c>
      <c r="P38" s="12" t="s">
        <v>132</v>
      </c>
    </row>
    <row r="39" spans="1:16">
      <c r="A39" s="11" t="s">
        <v>328</v>
      </c>
      <c r="B39" s="11" t="s">
        <v>331</v>
      </c>
      <c r="C39" s="5">
        <v>1</v>
      </c>
      <c r="D39" s="5">
        <v>10</v>
      </c>
      <c r="E39" s="5" t="s">
        <v>275</v>
      </c>
      <c r="F39" s="5">
        <v>66.599999999999994</v>
      </c>
      <c r="G39" s="12">
        <v>3063</v>
      </c>
      <c r="H39" s="12">
        <v>532</v>
      </c>
      <c r="I39" s="12">
        <v>300</v>
      </c>
      <c r="J39" s="12">
        <v>1327</v>
      </c>
      <c r="K39">
        <f t="shared" si="5"/>
        <v>4.5990990990990985</v>
      </c>
      <c r="L39">
        <f t="shared" si="6"/>
        <v>0.79879879879879878</v>
      </c>
      <c r="M39">
        <f t="shared" si="7"/>
        <v>0.45045045045045046</v>
      </c>
      <c r="N39">
        <f t="shared" si="8"/>
        <v>1.9924924924924923</v>
      </c>
      <c r="O39" s="6">
        <f t="shared" si="9"/>
        <v>7.8408408408408397</v>
      </c>
      <c r="P39" s="12" t="s">
        <v>331</v>
      </c>
    </row>
    <row r="40" spans="1:16">
      <c r="A40" s="11" t="s">
        <v>329</v>
      </c>
      <c r="B40" s="11" t="s">
        <v>332</v>
      </c>
      <c r="C40" s="5">
        <v>1</v>
      </c>
      <c r="D40" s="5">
        <v>10</v>
      </c>
      <c r="E40" s="5" t="s">
        <v>275</v>
      </c>
      <c r="F40" s="5">
        <v>66.599999999999994</v>
      </c>
      <c r="G40" s="12">
        <v>484</v>
      </c>
      <c r="H40" s="12">
        <v>116</v>
      </c>
      <c r="I40" s="12">
        <v>70</v>
      </c>
      <c r="J40" s="12">
        <v>275</v>
      </c>
      <c r="K40">
        <f t="shared" si="5"/>
        <v>0.72672672672672678</v>
      </c>
      <c r="L40">
        <f t="shared" si="6"/>
        <v>0.17417417417417416</v>
      </c>
      <c r="M40">
        <f t="shared" si="7"/>
        <v>0.1051051051051051</v>
      </c>
      <c r="N40">
        <f t="shared" si="8"/>
        <v>0.41291291291291288</v>
      </c>
      <c r="O40" s="6">
        <f t="shared" si="9"/>
        <v>1.4189189189189189</v>
      </c>
      <c r="P40" s="12" t="s">
        <v>332</v>
      </c>
    </row>
    <row r="41" spans="1:16">
      <c r="A41" s="11" t="s">
        <v>330</v>
      </c>
      <c r="B41" s="11" t="s">
        <v>333</v>
      </c>
      <c r="C41" s="5">
        <v>1</v>
      </c>
      <c r="D41" s="5">
        <v>10</v>
      </c>
      <c r="E41" s="5" t="s">
        <v>275</v>
      </c>
      <c r="F41" s="5">
        <v>66.599999999999994</v>
      </c>
      <c r="G41" s="12">
        <v>7103</v>
      </c>
      <c r="H41" s="12">
        <v>1791</v>
      </c>
      <c r="I41" s="12">
        <v>864</v>
      </c>
      <c r="J41" s="12">
        <v>7056</v>
      </c>
      <c r="K41">
        <f t="shared" si="5"/>
        <v>10.665165165165165</v>
      </c>
      <c r="L41">
        <f t="shared" si="6"/>
        <v>2.689189189189189</v>
      </c>
      <c r="M41">
        <f t="shared" si="7"/>
        <v>1.2972972972972974</v>
      </c>
      <c r="N41">
        <f t="shared" si="8"/>
        <v>10.594594594594593</v>
      </c>
      <c r="O41" s="6">
        <f t="shared" si="9"/>
        <v>25.246246246246244</v>
      </c>
      <c r="P41" s="12" t="s">
        <v>333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/>
  </sheetPr>
  <dimension ref="A1:S54"/>
  <sheetViews>
    <sheetView workbookViewId="0">
      <selection activeCell="L45" sqref="L45"/>
    </sheetView>
  </sheetViews>
  <sheetFormatPr defaultRowHeight="15"/>
  <cols>
    <col min="12" max="12" width="12" bestFit="1" customWidth="1"/>
  </cols>
  <sheetData>
    <row r="1" spans="1:19">
      <c r="A1" t="s">
        <v>62</v>
      </c>
    </row>
    <row r="3" spans="1:19">
      <c r="B3" t="s">
        <v>63</v>
      </c>
    </row>
    <row r="4" spans="1:19">
      <c r="A4">
        <v>0</v>
      </c>
      <c r="B4">
        <v>21.9</v>
      </c>
      <c r="C4">
        <v>22.2</v>
      </c>
      <c r="D4">
        <v>21.6</v>
      </c>
      <c r="E4">
        <f>AVERAGE(B4:D4)</f>
        <v>21.899999999999995</v>
      </c>
      <c r="M4" t="s">
        <v>1</v>
      </c>
      <c r="N4">
        <v>478.34</v>
      </c>
    </row>
    <row r="5" spans="1:19">
      <c r="A5">
        <v>0.05</v>
      </c>
      <c r="B5">
        <v>43.6</v>
      </c>
      <c r="C5">
        <v>47.7</v>
      </c>
      <c r="E5">
        <f>AVERAGE(B5:D5)</f>
        <v>45.650000000000006</v>
      </c>
      <c r="M5" t="s">
        <v>2</v>
      </c>
      <c r="N5">
        <v>24.474</v>
      </c>
    </row>
    <row r="6" spans="1:19">
      <c r="A6">
        <v>0.1</v>
      </c>
      <c r="B6">
        <v>74.7</v>
      </c>
      <c r="C6">
        <v>75.3</v>
      </c>
      <c r="E6">
        <f>AVERAGE(B6:D6)</f>
        <v>75</v>
      </c>
    </row>
    <row r="7" spans="1:19">
      <c r="A7">
        <v>0.25</v>
      </c>
      <c r="B7">
        <v>143.6</v>
      </c>
      <c r="C7">
        <v>144.80000000000001</v>
      </c>
      <c r="E7">
        <f>AVERAGE(B7:D7)</f>
        <v>144.19999999999999</v>
      </c>
    </row>
    <row r="8" spans="1:19">
      <c r="A8">
        <v>0.5</v>
      </c>
      <c r="B8">
        <v>261.10000000000002</v>
      </c>
      <c r="C8">
        <v>276.8</v>
      </c>
      <c r="E8">
        <f>AVERAGE(B8:D8)</f>
        <v>268.95000000000005</v>
      </c>
    </row>
    <row r="9" spans="1:19">
      <c r="A9">
        <v>1</v>
      </c>
      <c r="B9">
        <v>500</v>
      </c>
      <c r="C9">
        <v>851.4</v>
      </c>
      <c r="E9">
        <f>AVERAGE(B9)</f>
        <v>500</v>
      </c>
    </row>
    <row r="13" spans="1:19">
      <c r="D13" t="s">
        <v>8</v>
      </c>
      <c r="E13" t="s">
        <v>9</v>
      </c>
      <c r="F13" t="s">
        <v>10</v>
      </c>
      <c r="G13" t="s">
        <v>8</v>
      </c>
      <c r="H13" t="s">
        <v>9</v>
      </c>
      <c r="I13" t="s">
        <v>10</v>
      </c>
      <c r="J13" t="s">
        <v>11</v>
      </c>
      <c r="K13" t="s">
        <v>12</v>
      </c>
      <c r="O13">
        <v>0</v>
      </c>
      <c r="P13">
        <v>3.5</v>
      </c>
      <c r="Q13">
        <v>13.5</v>
      </c>
      <c r="R13">
        <v>19.75</v>
      </c>
      <c r="S13">
        <v>27</v>
      </c>
    </row>
    <row r="14" spans="1:19">
      <c r="B14">
        <v>1</v>
      </c>
      <c r="C14" t="s">
        <v>3</v>
      </c>
      <c r="D14">
        <v>207.4</v>
      </c>
      <c r="E14">
        <v>195.3</v>
      </c>
      <c r="F14">
        <v>190</v>
      </c>
      <c r="G14">
        <f>(D14-$N$5)/$N$4</f>
        <v>0.38241836350712888</v>
      </c>
      <c r="H14">
        <f t="shared" ref="H14:I23" si="0">(E14-$N$5)/$N$4</f>
        <v>0.35712254881465072</v>
      </c>
      <c r="I14">
        <f t="shared" si="0"/>
        <v>0.34604256386670573</v>
      </c>
      <c r="J14">
        <f>AVERAGE(G14:I14)</f>
        <v>0.36186115872949509</v>
      </c>
      <c r="K14">
        <f>STDEV(G14:I14)</f>
        <v>1.864512048268523E-2</v>
      </c>
      <c r="N14" t="s">
        <v>13</v>
      </c>
      <c r="O14">
        <f>J14</f>
        <v>0.36186115872949509</v>
      </c>
      <c r="P14">
        <f>J16</f>
        <v>0.22200248080166129</v>
      </c>
      <c r="Q14">
        <f>J18</f>
        <v>0.13628938969491713</v>
      </c>
      <c r="R14">
        <f>J20</f>
        <v>3.5942356204094715E-2</v>
      </c>
      <c r="S14">
        <f>J22</f>
        <v>0.25566054828504137</v>
      </c>
    </row>
    <row r="15" spans="1:19">
      <c r="B15">
        <v>2</v>
      </c>
      <c r="C15" t="s">
        <v>3</v>
      </c>
      <c r="D15">
        <v>71.099999999999994</v>
      </c>
      <c r="E15">
        <v>57.6</v>
      </c>
      <c r="F15">
        <v>48.4</v>
      </c>
      <c r="G15">
        <f t="shared" ref="G15:G23" si="1">(D15-$N$5)/$N$4</f>
        <v>9.7474599657147623E-2</v>
      </c>
      <c r="H15">
        <f t="shared" si="0"/>
        <v>6.9251996487853837E-2</v>
      </c>
      <c r="I15">
        <f t="shared" si="0"/>
        <v>5.0018815068779532E-2</v>
      </c>
      <c r="J15">
        <f t="shared" ref="J15:J23" si="2">AVERAGE(G15:I15)</f>
        <v>7.2248470404593659E-2</v>
      </c>
      <c r="K15">
        <f t="shared" ref="K15:K23" si="3">STDEV(G15:I15)</f>
        <v>2.3869373990003911E-2</v>
      </c>
      <c r="N15" t="s">
        <v>14</v>
      </c>
      <c r="O15">
        <f>J15</f>
        <v>7.2248470404593659E-2</v>
      </c>
      <c r="P15">
        <f>J17</f>
        <v>2.2423380858803365E-2</v>
      </c>
      <c r="Q15">
        <f>J19</f>
        <v>1.3155217348887124E-2</v>
      </c>
      <c r="R15">
        <f>J21</f>
        <v>1.4688297027219134E-2</v>
      </c>
      <c r="S15">
        <f>J23</f>
        <v>1.3155217348887124E-2</v>
      </c>
    </row>
    <row r="16" spans="1:19">
      <c r="B16">
        <v>1</v>
      </c>
      <c r="C16" t="s">
        <v>4</v>
      </c>
      <c r="D16">
        <v>134.6</v>
      </c>
      <c r="E16">
        <v>128.6</v>
      </c>
      <c r="F16">
        <v>128.80000000000001</v>
      </c>
      <c r="G16">
        <f t="shared" si="1"/>
        <v>0.23022536271271479</v>
      </c>
      <c r="H16">
        <f t="shared" si="0"/>
        <v>0.21768198352636201</v>
      </c>
      <c r="I16">
        <f t="shared" si="0"/>
        <v>0.21810009616590711</v>
      </c>
      <c r="J16">
        <f t="shared" si="2"/>
        <v>0.22200248080166129</v>
      </c>
      <c r="K16">
        <f t="shared" si="3"/>
        <v>7.1242925780167707E-3</v>
      </c>
    </row>
    <row r="17" spans="2:19">
      <c r="B17">
        <v>2</v>
      </c>
      <c r="C17" t="s">
        <v>4</v>
      </c>
      <c r="D17">
        <v>32.9</v>
      </c>
      <c r="E17">
        <v>34.5</v>
      </c>
      <c r="F17">
        <v>38.200000000000003</v>
      </c>
      <c r="G17">
        <f t="shared" si="1"/>
        <v>1.7615085504034785E-2</v>
      </c>
      <c r="H17">
        <f t="shared" si="0"/>
        <v>2.0959986620395537E-2</v>
      </c>
      <c r="I17">
        <f t="shared" si="0"/>
        <v>2.8695070451979769E-2</v>
      </c>
      <c r="J17">
        <f t="shared" si="2"/>
        <v>2.2423380858803365E-2</v>
      </c>
      <c r="K17">
        <f t="shared" si="3"/>
        <v>5.683102905493247E-3</v>
      </c>
      <c r="O17">
        <f>K14</f>
        <v>1.864512048268523E-2</v>
      </c>
      <c r="P17">
        <f>K16</f>
        <v>7.1242925780167707E-3</v>
      </c>
      <c r="Q17">
        <f>K18</f>
        <v>1.4535554269545533E-2</v>
      </c>
      <c r="R17">
        <f>K20</f>
        <v>9.7258009031923331E-3</v>
      </c>
      <c r="S17">
        <f>K22</f>
        <v>1.8172674788505594E-2</v>
      </c>
    </row>
    <row r="18" spans="2:19">
      <c r="B18">
        <v>1</v>
      </c>
      <c r="C18" t="s">
        <v>5</v>
      </c>
      <c r="D18">
        <v>82.6</v>
      </c>
      <c r="E18">
        <v>89.9</v>
      </c>
      <c r="F18">
        <v>96.5</v>
      </c>
      <c r="G18">
        <f t="shared" si="1"/>
        <v>0.12151607643099049</v>
      </c>
      <c r="H18">
        <f t="shared" si="0"/>
        <v>0.13677718777438644</v>
      </c>
      <c r="I18">
        <f t="shared" si="0"/>
        <v>0.1505749048793745</v>
      </c>
      <c r="J18">
        <f t="shared" si="2"/>
        <v>0.13628938969491713</v>
      </c>
      <c r="K18">
        <f t="shared" si="3"/>
        <v>1.4535554269545533E-2</v>
      </c>
      <c r="O18">
        <f>K15</f>
        <v>2.3869373990003911E-2</v>
      </c>
      <c r="P18">
        <f>K17</f>
        <v>5.683102905493247E-3</v>
      </c>
      <c r="Q18">
        <f>K19</f>
        <v>2.5802439800941641E-3</v>
      </c>
      <c r="R18">
        <f>K21</f>
        <v>8.0669738602561943E-3</v>
      </c>
      <c r="S18">
        <f>K23</f>
        <v>1.0122154972098008E-2</v>
      </c>
    </row>
    <row r="19" spans="2:19">
      <c r="B19">
        <v>2</v>
      </c>
      <c r="C19" t="s">
        <v>5</v>
      </c>
      <c r="D19">
        <v>29.4</v>
      </c>
      <c r="E19">
        <v>31.8</v>
      </c>
      <c r="F19">
        <v>31.1</v>
      </c>
      <c r="G19">
        <f t="shared" si="1"/>
        <v>1.0298114311995649E-2</v>
      </c>
      <c r="H19">
        <f t="shared" si="0"/>
        <v>1.5315465986536774E-2</v>
      </c>
      <c r="I19">
        <f t="shared" si="0"/>
        <v>1.385207174812895E-2</v>
      </c>
      <c r="J19">
        <f t="shared" si="2"/>
        <v>1.3155217348887124E-2</v>
      </c>
      <c r="K19">
        <f t="shared" si="3"/>
        <v>2.5802439800941641E-3</v>
      </c>
    </row>
    <row r="20" spans="2:19">
      <c r="B20">
        <v>1</v>
      </c>
      <c r="C20" t="s">
        <v>6</v>
      </c>
      <c r="D20">
        <v>46.4</v>
      </c>
      <c r="E20">
        <v>37.1</v>
      </c>
      <c r="F20">
        <v>41.5</v>
      </c>
      <c r="G20">
        <f t="shared" si="1"/>
        <v>4.5837688673328596E-2</v>
      </c>
      <c r="H20">
        <f t="shared" si="0"/>
        <v>2.6395450934481753E-2</v>
      </c>
      <c r="I20">
        <f t="shared" si="0"/>
        <v>3.5593929004473807E-2</v>
      </c>
      <c r="J20">
        <f t="shared" si="2"/>
        <v>3.5942356204094715E-2</v>
      </c>
      <c r="K20">
        <f t="shared" si="3"/>
        <v>9.7258009031923331E-3</v>
      </c>
    </row>
    <row r="21" spans="2:19">
      <c r="B21">
        <v>2</v>
      </c>
      <c r="C21" t="s">
        <v>6</v>
      </c>
      <c r="D21">
        <v>35.200000000000003</v>
      </c>
      <c r="E21">
        <v>27.5</v>
      </c>
      <c r="F21">
        <v>31.8</v>
      </c>
      <c r="G21">
        <f t="shared" si="1"/>
        <v>2.2423380858803368E-2</v>
      </c>
      <c r="H21">
        <f t="shared" si="0"/>
        <v>6.3260442363172638E-3</v>
      </c>
      <c r="I21">
        <f t="shared" si="0"/>
        <v>1.5315465986536774E-2</v>
      </c>
      <c r="J21">
        <f t="shared" si="2"/>
        <v>1.4688297027219134E-2</v>
      </c>
      <c r="K21">
        <f t="shared" si="3"/>
        <v>8.0669738602561943E-3</v>
      </c>
    </row>
    <row r="22" spans="2:19">
      <c r="B22">
        <v>1</v>
      </c>
      <c r="C22" t="s">
        <v>7</v>
      </c>
      <c r="D22">
        <v>156.80000000000001</v>
      </c>
      <c r="E22">
        <v>141.5</v>
      </c>
      <c r="F22">
        <v>142</v>
      </c>
      <c r="G22">
        <f t="shared" si="1"/>
        <v>0.27663586570222026</v>
      </c>
      <c r="H22">
        <f t="shared" si="0"/>
        <v>0.24465024877702055</v>
      </c>
      <c r="I22">
        <f t="shared" si="0"/>
        <v>0.24569553037588326</v>
      </c>
      <c r="J22">
        <f t="shared" si="2"/>
        <v>0.25566054828504137</v>
      </c>
      <c r="K22">
        <f t="shared" si="3"/>
        <v>1.8172674788505594E-2</v>
      </c>
    </row>
    <row r="23" spans="2:19">
      <c r="B23">
        <v>2</v>
      </c>
      <c r="C23" t="s">
        <v>7</v>
      </c>
      <c r="D23">
        <v>34</v>
      </c>
      <c r="E23">
        <v>25.2</v>
      </c>
      <c r="F23">
        <v>33.1</v>
      </c>
      <c r="G23">
        <f t="shared" si="1"/>
        <v>1.9914705021532801E-2</v>
      </c>
      <c r="H23">
        <f t="shared" si="0"/>
        <v>1.5177488815486873E-3</v>
      </c>
      <c r="I23">
        <f t="shared" si="0"/>
        <v>1.8033198143579884E-2</v>
      </c>
      <c r="J23">
        <f t="shared" si="2"/>
        <v>1.3155217348887124E-2</v>
      </c>
      <c r="K23">
        <f t="shared" si="3"/>
        <v>1.0122154972098008E-2</v>
      </c>
    </row>
    <row r="25" spans="2:19">
      <c r="F25" s="2" t="s">
        <v>424</v>
      </c>
      <c r="G25">
        <f>G14</f>
        <v>0.38241836350712888</v>
      </c>
    </row>
    <row r="26" spans="2:19">
      <c r="G26">
        <f>H14</f>
        <v>0.35712254881465072</v>
      </c>
    </row>
    <row r="27" spans="2:19">
      <c r="G27">
        <f>I14</f>
        <v>0.34604256386670573</v>
      </c>
    </row>
    <row r="28" spans="2:19">
      <c r="G28">
        <f>G15</f>
        <v>9.7474599657147623E-2</v>
      </c>
    </row>
    <row r="29" spans="2:19">
      <c r="G29">
        <f>H15</f>
        <v>6.9251996487853837E-2</v>
      </c>
    </row>
    <row r="30" spans="2:19">
      <c r="G30">
        <f>I15</f>
        <v>5.0018815068779532E-2</v>
      </c>
    </row>
    <row r="31" spans="2:19">
      <c r="G31">
        <f>G16</f>
        <v>0.23022536271271479</v>
      </c>
    </row>
    <row r="32" spans="2:19">
      <c r="G32">
        <f>H16</f>
        <v>0.21768198352636201</v>
      </c>
    </row>
    <row r="33" spans="7:14">
      <c r="G33">
        <f>I16</f>
        <v>0.21810009616590711</v>
      </c>
    </row>
    <row r="34" spans="7:14">
      <c r="G34">
        <f>G17</f>
        <v>1.7615085504034785E-2</v>
      </c>
      <c r="I34" t="s">
        <v>430</v>
      </c>
    </row>
    <row r="35" spans="7:14">
      <c r="G35">
        <f>H17</f>
        <v>2.0959986620395537E-2</v>
      </c>
      <c r="I35" t="s">
        <v>429</v>
      </c>
      <c r="J35" t="s">
        <v>428</v>
      </c>
      <c r="K35" t="s">
        <v>427</v>
      </c>
      <c r="L35" t="s">
        <v>375</v>
      </c>
      <c r="M35" t="s">
        <v>425</v>
      </c>
      <c r="N35" t="s">
        <v>426</v>
      </c>
    </row>
    <row r="36" spans="7:14">
      <c r="G36">
        <f>I17</f>
        <v>2.8695070451979769E-2</v>
      </c>
      <c r="I36" t="s">
        <v>13</v>
      </c>
      <c r="J36">
        <f>G14-G22</f>
        <v>0.10578249780490862</v>
      </c>
      <c r="K36">
        <f t="shared" ref="K36:L36" si="4">H14-H22</f>
        <v>0.11247230003763017</v>
      </c>
      <c r="L36">
        <f t="shared" si="4"/>
        <v>0.10034703349082247</v>
      </c>
      <c r="M36">
        <f>AVERAGE(J36:L36)</f>
        <v>0.10620061044445377</v>
      </c>
      <c r="N36">
        <f>STDEV(J36:L36)</f>
        <v>6.073436905269871E-3</v>
      </c>
    </row>
    <row r="37" spans="7:14">
      <c r="G37">
        <f>G18</f>
        <v>0.12151607643099049</v>
      </c>
      <c r="I37" t="s">
        <v>14</v>
      </c>
      <c r="J37">
        <f>G15-G23</f>
        <v>7.7559894635614829E-2</v>
      </c>
      <c r="K37">
        <f t="shared" ref="K37:L37" si="5">H15-H23</f>
        <v>6.7734247606305156E-2</v>
      </c>
      <c r="L37">
        <f t="shared" si="5"/>
        <v>3.1985616925199647E-2</v>
      </c>
      <c r="M37">
        <f>AVERAGE(J37:L37)</f>
        <v>5.9093253055706542E-2</v>
      </c>
      <c r="N37">
        <f>STDEV(J37:L37)</f>
        <v>2.3984448864297854E-2</v>
      </c>
    </row>
    <row r="38" spans="7:14">
      <c r="G38">
        <f>H18</f>
        <v>0.13677718777438644</v>
      </c>
      <c r="I38" t="s">
        <v>431</v>
      </c>
    </row>
    <row r="39" spans="7:14">
      <c r="G39">
        <f>I18</f>
        <v>0.1505749048793745</v>
      </c>
      <c r="I39" t="s">
        <v>429</v>
      </c>
      <c r="J39" t="s">
        <v>428</v>
      </c>
      <c r="K39" t="s">
        <v>427</v>
      </c>
      <c r="L39" t="s">
        <v>375</v>
      </c>
      <c r="M39" t="s">
        <v>425</v>
      </c>
      <c r="N39" t="s">
        <v>426</v>
      </c>
    </row>
    <row r="40" spans="7:14">
      <c r="G40">
        <f>G19</f>
        <v>1.0298114311995649E-2</v>
      </c>
      <c r="I40" t="s">
        <v>13</v>
      </c>
      <c r="J40">
        <f>G14-G20</f>
        <v>0.33658067483380028</v>
      </c>
      <c r="K40">
        <f t="shared" ref="K40:L40" si="6">H14-H20</f>
        <v>0.33072709788016896</v>
      </c>
      <c r="L40">
        <f t="shared" si="6"/>
        <v>0.31044863486223195</v>
      </c>
      <c r="M40">
        <f>AVERAGE(J40:L40)</f>
        <v>0.3259188025254004</v>
      </c>
      <c r="N40">
        <f>STDEV(J40:L40)</f>
        <v>1.3713520934935997E-2</v>
      </c>
    </row>
    <row r="41" spans="7:14">
      <c r="G41">
        <f>H19</f>
        <v>1.5315465986536774E-2</v>
      </c>
      <c r="I41" t="s">
        <v>14</v>
      </c>
      <c r="J41">
        <f>G15-G21</f>
        <v>7.5051218798344255E-2</v>
      </c>
      <c r="K41">
        <f t="shared" ref="K41:L41" si="7">H15-H21</f>
        <v>6.2925952251536577E-2</v>
      </c>
      <c r="L41">
        <f t="shared" si="7"/>
        <v>3.4703349082242756E-2</v>
      </c>
      <c r="M41">
        <f>AVERAGE(J41:L41)</f>
        <v>5.7560173377374534E-2</v>
      </c>
      <c r="N41">
        <f>STDEV(J41:L41)</f>
        <v>2.0702206038286777E-2</v>
      </c>
    </row>
    <row r="42" spans="7:14">
      <c r="G42">
        <f>I19</f>
        <v>1.385207174812895E-2</v>
      </c>
    </row>
    <row r="43" spans="7:14">
      <c r="G43">
        <f>G20</f>
        <v>4.5837688673328596E-2</v>
      </c>
      <c r="L43">
        <f>TTEST(J36:L36,J37:L37,2,2)</f>
        <v>2.9995312511589402E-2</v>
      </c>
    </row>
    <row r="44" spans="7:14">
      <c r="G44">
        <f>H20</f>
        <v>2.6395450934481753E-2</v>
      </c>
      <c r="L44">
        <f>TTEST(J40:L40,J41:L41,2,2)</f>
        <v>4.7961621731861887E-5</v>
      </c>
    </row>
    <row r="45" spans="7:14">
      <c r="G45">
        <f>I20</f>
        <v>3.5593929004473807E-2</v>
      </c>
    </row>
    <row r="46" spans="7:14">
      <c r="G46">
        <f>G21</f>
        <v>2.2423380858803368E-2</v>
      </c>
    </row>
    <row r="47" spans="7:14">
      <c r="G47">
        <f>H21</f>
        <v>6.3260442363172638E-3</v>
      </c>
    </row>
    <row r="48" spans="7:14">
      <c r="G48">
        <f>I21</f>
        <v>1.5315465986536774E-2</v>
      </c>
    </row>
    <row r="49" spans="7:7">
      <c r="G49">
        <f>G22</f>
        <v>0.27663586570222026</v>
      </c>
    </row>
    <row r="50" spans="7:7">
      <c r="G50">
        <f>H22</f>
        <v>0.24465024877702055</v>
      </c>
    </row>
    <row r="51" spans="7:7">
      <c r="G51">
        <f>I22</f>
        <v>0.24569553037588326</v>
      </c>
    </row>
    <row r="52" spans="7:7">
      <c r="G52">
        <f>G23</f>
        <v>1.9914705021532801E-2</v>
      </c>
    </row>
    <row r="53" spans="7:7">
      <c r="G53">
        <f>H23</f>
        <v>1.5177488815486873E-3</v>
      </c>
    </row>
    <row r="54" spans="7:7">
      <c r="G54">
        <f>I23</f>
        <v>1.8033198143579884E-2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/>
  </sheetPr>
  <dimension ref="A3:Y36"/>
  <sheetViews>
    <sheetView workbookViewId="0">
      <selection activeCell="Y7" sqref="Y7:Y36"/>
    </sheetView>
  </sheetViews>
  <sheetFormatPr defaultRowHeight="15"/>
  <cols>
    <col min="22" max="22" width="12" bestFit="1" customWidth="1"/>
  </cols>
  <sheetData>
    <row r="3" spans="1:25" ht="39.75">
      <c r="A3" s="4" t="s">
        <v>64</v>
      </c>
      <c r="B3" s="4" t="s">
        <v>65</v>
      </c>
      <c r="C3" s="4" t="s">
        <v>66</v>
      </c>
      <c r="D3" s="4" t="s">
        <v>67</v>
      </c>
      <c r="E3" s="4" t="s">
        <v>68</v>
      </c>
      <c r="F3" s="4" t="s">
        <v>69</v>
      </c>
      <c r="G3" s="4" t="s">
        <v>70</v>
      </c>
      <c r="H3" s="4" t="s">
        <v>71</v>
      </c>
      <c r="I3" s="4" t="s">
        <v>72</v>
      </c>
      <c r="J3" s="4" t="s">
        <v>73</v>
      </c>
      <c r="K3" s="4" t="s">
        <v>74</v>
      </c>
    </row>
    <row r="4" spans="1:25">
      <c r="A4" s="5"/>
      <c r="B4" s="5"/>
      <c r="C4" s="5"/>
      <c r="D4" s="5"/>
      <c r="E4" s="5"/>
      <c r="F4" s="5"/>
      <c r="G4" s="5"/>
      <c r="H4" s="5"/>
      <c r="I4" s="5"/>
      <c r="J4" s="5"/>
      <c r="K4" s="6"/>
    </row>
    <row r="5" spans="1:25">
      <c r="C5" s="5"/>
      <c r="D5" s="5"/>
      <c r="E5" s="5"/>
      <c r="F5" s="5"/>
      <c r="G5" s="5"/>
      <c r="H5" s="5" t="s">
        <v>75</v>
      </c>
      <c r="I5" s="5">
        <v>49.6</v>
      </c>
      <c r="K5" s="6"/>
    </row>
    <row r="6" spans="1:25">
      <c r="A6" t="s">
        <v>86</v>
      </c>
      <c r="B6" t="s">
        <v>194</v>
      </c>
      <c r="C6" s="5">
        <v>50</v>
      </c>
      <c r="D6" s="5">
        <v>1</v>
      </c>
      <c r="E6" s="5">
        <v>500</v>
      </c>
      <c r="F6" s="5">
        <v>10</v>
      </c>
      <c r="G6" s="5">
        <f t="shared" ref="G6:G11" si="0">E6+F6</f>
        <v>510</v>
      </c>
      <c r="H6" s="5" t="s">
        <v>75</v>
      </c>
      <c r="I6" s="5">
        <v>49.6</v>
      </c>
      <c r="J6">
        <v>666</v>
      </c>
      <c r="K6" s="6">
        <f t="shared" ref="K6:K35" si="1">((((J6)/((I6*D6)/1000))*C6)*(G6/E6))/100000</f>
        <v>6.8479838709677416</v>
      </c>
      <c r="L6" t="s">
        <v>194</v>
      </c>
    </row>
    <row r="7" spans="1:25">
      <c r="A7" t="s">
        <v>195</v>
      </c>
      <c r="B7" t="s">
        <v>196</v>
      </c>
      <c r="C7" s="5">
        <v>50</v>
      </c>
      <c r="D7" s="5">
        <v>1</v>
      </c>
      <c r="E7" s="5">
        <v>500</v>
      </c>
      <c r="F7" s="5">
        <v>10</v>
      </c>
      <c r="G7" s="5">
        <f t="shared" si="0"/>
        <v>510</v>
      </c>
      <c r="H7" s="5" t="s">
        <v>75</v>
      </c>
      <c r="I7" s="5">
        <v>49.6</v>
      </c>
      <c r="J7">
        <v>760</v>
      </c>
      <c r="K7" s="6">
        <f t="shared" si="1"/>
        <v>7.8145161290322598</v>
      </c>
      <c r="L7" t="s">
        <v>196</v>
      </c>
      <c r="P7">
        <v>0</v>
      </c>
      <c r="Q7">
        <v>3.5</v>
      </c>
      <c r="R7">
        <v>13.5</v>
      </c>
      <c r="S7">
        <v>19.75</v>
      </c>
      <c r="T7">
        <v>27</v>
      </c>
      <c r="W7" s="2" t="s">
        <v>424</v>
      </c>
      <c r="X7" s="8">
        <f>P8</f>
        <v>6.8479838709677416</v>
      </c>
      <c r="Y7">
        <f t="shared" ref="Y7:Y35" si="2">X7*100000</f>
        <v>684798.38709677418</v>
      </c>
    </row>
    <row r="8" spans="1:25">
      <c r="A8" t="s">
        <v>197</v>
      </c>
      <c r="B8" t="s">
        <v>198</v>
      </c>
      <c r="C8" s="5">
        <v>50</v>
      </c>
      <c r="D8" s="5">
        <v>1</v>
      </c>
      <c r="E8" s="5">
        <v>500</v>
      </c>
      <c r="F8" s="5">
        <v>10</v>
      </c>
      <c r="G8" s="5">
        <f t="shared" si="0"/>
        <v>510</v>
      </c>
      <c r="H8" s="5" t="s">
        <v>75</v>
      </c>
      <c r="I8" s="5">
        <v>49.6</v>
      </c>
      <c r="J8">
        <v>1056</v>
      </c>
      <c r="K8" s="6">
        <f t="shared" si="1"/>
        <v>10.858064516129033</v>
      </c>
      <c r="L8" t="s">
        <v>198</v>
      </c>
      <c r="O8" t="s">
        <v>281</v>
      </c>
      <c r="P8" s="8">
        <f t="shared" ref="P8:P13" si="3">K6</f>
        <v>6.8479838709677416</v>
      </c>
      <c r="Q8" s="8">
        <f t="shared" ref="Q8:Q13" si="4">K12</f>
        <v>13.438911290322581</v>
      </c>
      <c r="R8" s="8">
        <f t="shared" ref="R8:R13" si="5">K18</f>
        <v>18.795967741935485</v>
      </c>
      <c r="S8" s="8">
        <f t="shared" ref="S8:S13" si="6">K24</f>
        <v>42.371129032258068</v>
      </c>
      <c r="T8" s="8">
        <f t="shared" ref="T8:T13" si="7">K30</f>
        <v>95.376169354838723</v>
      </c>
      <c r="V8" s="8">
        <f>T8-P8</f>
        <v>88.528185483870985</v>
      </c>
      <c r="X8" s="8">
        <f t="shared" ref="X8:X12" si="8">P9</f>
        <v>7.8145161290322598</v>
      </c>
      <c r="Y8">
        <f t="shared" si="2"/>
        <v>781451.61290322593</v>
      </c>
    </row>
    <row r="9" spans="1:25">
      <c r="A9" t="s">
        <v>199</v>
      </c>
      <c r="B9" t="s">
        <v>200</v>
      </c>
      <c r="C9" s="5">
        <v>50</v>
      </c>
      <c r="D9" s="5">
        <v>1</v>
      </c>
      <c r="E9" s="5">
        <v>500</v>
      </c>
      <c r="F9" s="5">
        <v>10</v>
      </c>
      <c r="G9" s="5">
        <f t="shared" si="0"/>
        <v>510</v>
      </c>
      <c r="H9" s="5" t="s">
        <v>75</v>
      </c>
      <c r="I9" s="5">
        <v>49.6</v>
      </c>
      <c r="J9">
        <v>1069</v>
      </c>
      <c r="K9" s="6">
        <f t="shared" si="1"/>
        <v>10.991733870967742</v>
      </c>
      <c r="L9" t="s">
        <v>200</v>
      </c>
      <c r="O9" t="s">
        <v>282</v>
      </c>
      <c r="P9" s="8">
        <f t="shared" si="3"/>
        <v>7.8145161290322598</v>
      </c>
      <c r="Q9" s="8">
        <f t="shared" si="4"/>
        <v>14.066129032258065</v>
      </c>
      <c r="R9" s="8">
        <f t="shared" si="5"/>
        <v>18.872056451612902</v>
      </c>
      <c r="S9" s="8">
        <f t="shared" si="6"/>
        <v>42.891411290322587</v>
      </c>
      <c r="T9" s="8">
        <f t="shared" si="7"/>
        <v>90.942459677419365</v>
      </c>
      <c r="V9" s="8">
        <f t="shared" ref="V9:V13" si="9">T9-P9</f>
        <v>83.127943548387108</v>
      </c>
      <c r="X9" s="8">
        <f t="shared" si="8"/>
        <v>10.858064516129033</v>
      </c>
      <c r="Y9">
        <f t="shared" si="2"/>
        <v>1085806.4516129033</v>
      </c>
    </row>
    <row r="10" spans="1:25">
      <c r="A10" t="s">
        <v>201</v>
      </c>
      <c r="B10" t="s">
        <v>202</v>
      </c>
      <c r="C10" s="5">
        <v>50</v>
      </c>
      <c r="D10" s="5">
        <v>1</v>
      </c>
      <c r="E10" s="5">
        <v>500</v>
      </c>
      <c r="F10" s="5">
        <v>10</v>
      </c>
      <c r="G10" s="5">
        <f t="shared" si="0"/>
        <v>510</v>
      </c>
      <c r="H10" s="5" t="s">
        <v>75</v>
      </c>
      <c r="I10" s="5">
        <v>49.6</v>
      </c>
      <c r="J10">
        <v>1130</v>
      </c>
      <c r="K10" s="6">
        <f t="shared" si="1"/>
        <v>11.618951612903226</v>
      </c>
      <c r="L10" t="s">
        <v>202</v>
      </c>
      <c r="O10" t="s">
        <v>283</v>
      </c>
      <c r="P10" s="8">
        <f t="shared" si="3"/>
        <v>10.858064516129033</v>
      </c>
      <c r="Q10" s="8">
        <f t="shared" si="4"/>
        <v>12.75</v>
      </c>
      <c r="R10" s="8">
        <f t="shared" si="5"/>
        <v>18.545080645161292</v>
      </c>
      <c r="S10" s="8">
        <f t="shared" si="6"/>
        <v>42.428709677419356</v>
      </c>
      <c r="T10" s="8">
        <f t="shared" si="7"/>
        <v>90.397499999999994</v>
      </c>
      <c r="V10" s="8">
        <f t="shared" si="9"/>
        <v>79.53943548387096</v>
      </c>
      <c r="X10" s="8">
        <f t="shared" si="8"/>
        <v>10.991733870967742</v>
      </c>
      <c r="Y10">
        <f t="shared" si="2"/>
        <v>1099173.3870967743</v>
      </c>
    </row>
    <row r="11" spans="1:25">
      <c r="A11" t="s">
        <v>203</v>
      </c>
      <c r="B11" t="s">
        <v>204</v>
      </c>
      <c r="C11" s="5">
        <v>50</v>
      </c>
      <c r="D11" s="5">
        <v>1</v>
      </c>
      <c r="E11" s="5">
        <v>500</v>
      </c>
      <c r="F11" s="5">
        <v>10</v>
      </c>
      <c r="G11" s="5">
        <f t="shared" si="0"/>
        <v>510</v>
      </c>
      <c r="H11" s="5" t="s">
        <v>75</v>
      </c>
      <c r="I11" s="5">
        <v>49.6</v>
      </c>
      <c r="J11">
        <v>1073</v>
      </c>
      <c r="K11" s="6">
        <f t="shared" si="1"/>
        <v>11.032862903225807</v>
      </c>
      <c r="L11" t="s">
        <v>204</v>
      </c>
      <c r="O11" t="s">
        <v>286</v>
      </c>
      <c r="P11" s="8">
        <f t="shared" si="3"/>
        <v>10.991733870967742</v>
      </c>
      <c r="Q11" s="8">
        <f t="shared" si="4"/>
        <v>13.243548387096773</v>
      </c>
      <c r="R11" s="8">
        <f t="shared" si="5"/>
        <v>17.010967741935485</v>
      </c>
      <c r="S11" s="8">
        <f t="shared" si="6"/>
        <v>21.648266129032258</v>
      </c>
      <c r="T11" s="8">
        <f t="shared" si="7"/>
        <v>23.128911290322584</v>
      </c>
      <c r="V11" s="8">
        <f t="shared" si="9"/>
        <v>12.137177419354842</v>
      </c>
      <c r="X11" s="8">
        <f t="shared" si="8"/>
        <v>11.618951612903226</v>
      </c>
      <c r="Y11">
        <f t="shared" si="2"/>
        <v>1161895.1612903227</v>
      </c>
    </row>
    <row r="12" spans="1:25">
      <c r="A12" t="s">
        <v>205</v>
      </c>
      <c r="B12" t="s">
        <v>206</v>
      </c>
      <c r="C12" s="5">
        <v>50</v>
      </c>
      <c r="D12" s="5">
        <v>1</v>
      </c>
      <c r="E12" s="5">
        <v>500</v>
      </c>
      <c r="F12" s="5">
        <v>10</v>
      </c>
      <c r="G12" s="5">
        <f t="shared" ref="G12:G35" si="10">E12+F12</f>
        <v>510</v>
      </c>
      <c r="H12" s="5" t="s">
        <v>75</v>
      </c>
      <c r="I12" s="5">
        <v>49.6</v>
      </c>
      <c r="J12">
        <v>1307</v>
      </c>
      <c r="K12" s="6">
        <f t="shared" si="1"/>
        <v>13.438911290322581</v>
      </c>
      <c r="L12" t="s">
        <v>206</v>
      </c>
      <c r="O12" t="s">
        <v>284</v>
      </c>
      <c r="P12" s="8">
        <f t="shared" si="3"/>
        <v>11.618951612903226</v>
      </c>
      <c r="Q12" s="8">
        <f t="shared" si="4"/>
        <v>13.695967741935483</v>
      </c>
      <c r="R12" s="8">
        <f t="shared" si="5"/>
        <v>17.315322580645162</v>
      </c>
      <c r="S12" s="8">
        <f t="shared" si="6"/>
        <v>22.205564516129034</v>
      </c>
      <c r="T12" s="8">
        <f t="shared" si="7"/>
        <v>24.714435483870968</v>
      </c>
      <c r="V12" s="8">
        <f t="shared" si="9"/>
        <v>13.095483870967742</v>
      </c>
      <c r="X12" s="8">
        <f t="shared" si="8"/>
        <v>11.032862903225807</v>
      </c>
      <c r="Y12">
        <f t="shared" si="2"/>
        <v>1103286.2903225806</v>
      </c>
    </row>
    <row r="13" spans="1:25">
      <c r="A13" t="s">
        <v>207</v>
      </c>
      <c r="B13" t="s">
        <v>208</v>
      </c>
      <c r="C13" s="5">
        <v>50</v>
      </c>
      <c r="D13" s="5">
        <v>1</v>
      </c>
      <c r="E13" s="5">
        <v>500</v>
      </c>
      <c r="F13" s="5">
        <v>10</v>
      </c>
      <c r="G13" s="5">
        <f t="shared" si="10"/>
        <v>510</v>
      </c>
      <c r="H13" s="5" t="s">
        <v>75</v>
      </c>
      <c r="I13" s="5">
        <v>49.6</v>
      </c>
      <c r="J13">
        <v>1368</v>
      </c>
      <c r="K13" s="6">
        <f t="shared" si="1"/>
        <v>14.066129032258065</v>
      </c>
      <c r="L13" t="s">
        <v>208</v>
      </c>
      <c r="O13" t="s">
        <v>285</v>
      </c>
      <c r="P13" s="8">
        <f t="shared" si="3"/>
        <v>11.032862903225807</v>
      </c>
      <c r="Q13" s="8">
        <f t="shared" si="4"/>
        <v>13.665120967741936</v>
      </c>
      <c r="R13" s="8">
        <f t="shared" si="5"/>
        <v>17.006854838709678</v>
      </c>
      <c r="S13" s="8">
        <f t="shared" si="6"/>
        <v>21.868306451612902</v>
      </c>
      <c r="T13" s="8">
        <f t="shared" si="7"/>
        <v>22.824556451612903</v>
      </c>
      <c r="V13" s="8">
        <f t="shared" si="9"/>
        <v>11.791693548387096</v>
      </c>
      <c r="X13" s="8">
        <f>Q8</f>
        <v>13.438911290322581</v>
      </c>
      <c r="Y13">
        <f t="shared" si="2"/>
        <v>1343891.1290322582</v>
      </c>
    </row>
    <row r="14" spans="1:25">
      <c r="A14" t="s">
        <v>209</v>
      </c>
      <c r="B14" t="s">
        <v>210</v>
      </c>
      <c r="C14" s="5">
        <v>50</v>
      </c>
      <c r="D14" s="5">
        <v>1</v>
      </c>
      <c r="E14" s="5">
        <v>500</v>
      </c>
      <c r="F14" s="5">
        <v>10</v>
      </c>
      <c r="G14" s="5">
        <f t="shared" si="10"/>
        <v>510</v>
      </c>
      <c r="H14" s="5" t="s">
        <v>75</v>
      </c>
      <c r="I14" s="5">
        <v>49.6</v>
      </c>
      <c r="J14">
        <v>1240</v>
      </c>
      <c r="K14" s="6">
        <f t="shared" si="1"/>
        <v>12.75</v>
      </c>
      <c r="L14" t="s">
        <v>210</v>
      </c>
      <c r="V14" s="26">
        <f>TTEST(V8:V10,V11:V13,2,3)</f>
        <v>1.0805099303575181E-3</v>
      </c>
      <c r="X14" s="8">
        <f t="shared" ref="X14:X18" si="11">Q9</f>
        <v>14.066129032258065</v>
      </c>
      <c r="Y14">
        <f t="shared" si="2"/>
        <v>1406612.9032258065</v>
      </c>
    </row>
    <row r="15" spans="1:25">
      <c r="A15" t="s">
        <v>211</v>
      </c>
      <c r="B15" t="s">
        <v>212</v>
      </c>
      <c r="C15" s="5">
        <v>50</v>
      </c>
      <c r="D15" s="5">
        <v>1</v>
      </c>
      <c r="E15" s="5">
        <v>500</v>
      </c>
      <c r="F15" s="5">
        <v>10</v>
      </c>
      <c r="G15" s="5">
        <f t="shared" si="10"/>
        <v>510</v>
      </c>
      <c r="H15" s="5" t="s">
        <v>75</v>
      </c>
      <c r="I15" s="5">
        <v>49.6</v>
      </c>
      <c r="J15">
        <v>1288</v>
      </c>
      <c r="K15" s="6">
        <f t="shared" si="1"/>
        <v>13.243548387096773</v>
      </c>
      <c r="L15" t="s">
        <v>212</v>
      </c>
      <c r="P15" s="9">
        <f>P7</f>
        <v>0</v>
      </c>
      <c r="Q15" s="8">
        <f>Q7</f>
        <v>3.5</v>
      </c>
      <c r="R15" s="9">
        <f>R7</f>
        <v>13.5</v>
      </c>
      <c r="S15" s="9">
        <f>S7</f>
        <v>19.75</v>
      </c>
      <c r="T15" s="9">
        <f>T7</f>
        <v>27</v>
      </c>
      <c r="X15" s="8">
        <f t="shared" si="11"/>
        <v>12.75</v>
      </c>
      <c r="Y15">
        <f t="shared" si="2"/>
        <v>1275000</v>
      </c>
    </row>
    <row r="16" spans="1:25">
      <c r="A16" t="s">
        <v>213</v>
      </c>
      <c r="B16" t="s">
        <v>214</v>
      </c>
      <c r="C16" s="5">
        <v>50</v>
      </c>
      <c r="D16" s="5">
        <v>1</v>
      </c>
      <c r="E16" s="5">
        <v>500</v>
      </c>
      <c r="F16" s="5">
        <v>10</v>
      </c>
      <c r="G16" s="5">
        <f t="shared" si="10"/>
        <v>510</v>
      </c>
      <c r="H16" s="5" t="s">
        <v>75</v>
      </c>
      <c r="I16" s="5">
        <v>49.6</v>
      </c>
      <c r="J16">
        <v>1332</v>
      </c>
      <c r="K16" s="6">
        <f t="shared" si="1"/>
        <v>13.695967741935483</v>
      </c>
      <c r="L16" t="s">
        <v>214</v>
      </c>
      <c r="N16" t="s">
        <v>287</v>
      </c>
      <c r="O16" t="s">
        <v>13</v>
      </c>
      <c r="P16" s="8">
        <f>AVERAGE(P8:P10)</f>
        <v>8.5068548387096783</v>
      </c>
      <c r="Q16" s="8">
        <f>AVERAGE(Q8:Q10)</f>
        <v>13.41834677419355</v>
      </c>
      <c r="R16" s="8">
        <f>AVERAGE(R8:R10)</f>
        <v>18.737701612903226</v>
      </c>
      <c r="S16" s="8">
        <f>AVERAGE(S8:S10)</f>
        <v>42.563750000000006</v>
      </c>
      <c r="T16" s="8">
        <f>AVERAGE(T8:T10)</f>
        <v>92.238709677419365</v>
      </c>
      <c r="X16" s="8">
        <f t="shared" si="11"/>
        <v>13.243548387096773</v>
      </c>
      <c r="Y16">
        <f t="shared" si="2"/>
        <v>1324354.8387096773</v>
      </c>
    </row>
    <row r="17" spans="1:25">
      <c r="A17" t="s">
        <v>88</v>
      </c>
      <c r="B17" t="s">
        <v>215</v>
      </c>
      <c r="C17" s="5">
        <v>50</v>
      </c>
      <c r="D17" s="5">
        <v>1</v>
      </c>
      <c r="E17" s="5">
        <v>500</v>
      </c>
      <c r="F17" s="5">
        <v>10</v>
      </c>
      <c r="G17" s="5">
        <f t="shared" si="10"/>
        <v>510</v>
      </c>
      <c r="H17" s="5" t="s">
        <v>75</v>
      </c>
      <c r="I17" s="5">
        <v>49.6</v>
      </c>
      <c r="J17">
        <v>1329</v>
      </c>
      <c r="K17" s="6">
        <f t="shared" si="1"/>
        <v>13.665120967741936</v>
      </c>
      <c r="L17" t="s">
        <v>215</v>
      </c>
      <c r="O17" t="s">
        <v>14</v>
      </c>
      <c r="P17" s="8">
        <f>AVERAGE(P11:P13)</f>
        <v>11.214516129032257</v>
      </c>
      <c r="Q17" s="8">
        <f>AVERAGE(Q11:Q13)</f>
        <v>13.534879032258063</v>
      </c>
      <c r="R17" s="8">
        <f>AVERAGE(R11:R13)</f>
        <v>17.111048387096776</v>
      </c>
      <c r="S17" s="8">
        <f>AVERAGE(S11:S13)</f>
        <v>21.907379032258063</v>
      </c>
      <c r="T17" s="8">
        <f>AVERAGE(T11:T13)</f>
        <v>23.555967741935486</v>
      </c>
      <c r="X17" s="8">
        <f t="shared" si="11"/>
        <v>13.695967741935483</v>
      </c>
      <c r="Y17">
        <f t="shared" si="2"/>
        <v>1369596.7741935484</v>
      </c>
    </row>
    <row r="18" spans="1:25">
      <c r="A18" t="s">
        <v>102</v>
      </c>
      <c r="B18" t="s">
        <v>216</v>
      </c>
      <c r="C18" s="5">
        <v>10</v>
      </c>
      <c r="D18" s="5">
        <v>1</v>
      </c>
      <c r="E18" s="5">
        <v>500</v>
      </c>
      <c r="F18" s="5">
        <v>10</v>
      </c>
      <c r="G18" s="5">
        <f t="shared" si="10"/>
        <v>510</v>
      </c>
      <c r="H18" s="5" t="s">
        <v>75</v>
      </c>
      <c r="I18" s="5">
        <v>49.6</v>
      </c>
      <c r="J18">
        <v>9140</v>
      </c>
      <c r="K18" s="6">
        <f t="shared" si="1"/>
        <v>18.795967741935485</v>
      </c>
      <c r="L18" t="s">
        <v>216</v>
      </c>
      <c r="X18" s="8">
        <f t="shared" si="11"/>
        <v>13.665120967741936</v>
      </c>
      <c r="Y18">
        <f t="shared" si="2"/>
        <v>1366512.0967741937</v>
      </c>
    </row>
    <row r="19" spans="1:25">
      <c r="A19" t="s">
        <v>104</v>
      </c>
      <c r="B19" t="s">
        <v>217</v>
      </c>
      <c r="C19" s="5">
        <v>10</v>
      </c>
      <c r="D19" s="5">
        <v>1</v>
      </c>
      <c r="E19" s="5">
        <v>500</v>
      </c>
      <c r="F19" s="5">
        <v>10</v>
      </c>
      <c r="G19" s="5">
        <f t="shared" si="10"/>
        <v>510</v>
      </c>
      <c r="H19" s="5" t="s">
        <v>75</v>
      </c>
      <c r="I19" s="5">
        <v>49.6</v>
      </c>
      <c r="J19">
        <v>9177</v>
      </c>
      <c r="K19" s="6">
        <f t="shared" si="1"/>
        <v>18.872056451612902</v>
      </c>
      <c r="L19" t="s">
        <v>217</v>
      </c>
      <c r="N19" t="s">
        <v>12</v>
      </c>
      <c r="O19" t="s">
        <v>13</v>
      </c>
      <c r="P19">
        <f>STDEV(P8:P10)</f>
        <v>2.0927700212547542</v>
      </c>
      <c r="Q19">
        <f>STDEV(Q8:Q10)</f>
        <v>0.65830546244190735</v>
      </c>
      <c r="R19">
        <f>STDEV(R8:R10)</f>
        <v>0.17109792764809598</v>
      </c>
      <c r="S19">
        <f>STDEV(S8:S10)</f>
        <v>0.28521978114463375</v>
      </c>
      <c r="T19">
        <f>STDEV(T8:T10)</f>
        <v>2.7307480995283258</v>
      </c>
      <c r="X19" s="8">
        <f>R8</f>
        <v>18.795967741935485</v>
      </c>
      <c r="Y19">
        <f t="shared" si="2"/>
        <v>1879596.7741935484</v>
      </c>
    </row>
    <row r="20" spans="1:25">
      <c r="A20" t="s">
        <v>106</v>
      </c>
      <c r="B20" t="s">
        <v>218</v>
      </c>
      <c r="C20" s="5">
        <v>10</v>
      </c>
      <c r="D20" s="5">
        <v>1</v>
      </c>
      <c r="E20" s="5">
        <v>500</v>
      </c>
      <c r="F20" s="5">
        <v>10</v>
      </c>
      <c r="G20" s="5">
        <f t="shared" si="10"/>
        <v>510</v>
      </c>
      <c r="H20" s="5" t="s">
        <v>75</v>
      </c>
      <c r="I20" s="5">
        <v>49.6</v>
      </c>
      <c r="J20">
        <v>9018</v>
      </c>
      <c r="K20" s="6">
        <f t="shared" si="1"/>
        <v>18.545080645161292</v>
      </c>
      <c r="L20" t="s">
        <v>218</v>
      </c>
      <c r="O20" t="s">
        <v>14</v>
      </c>
      <c r="P20">
        <f>STDEV(P11:P13)</f>
        <v>0.35085459208064956</v>
      </c>
      <c r="Q20">
        <f>STDEV(Q11:Q13)</f>
        <v>0.25277072511884668</v>
      </c>
      <c r="R20">
        <f>STDEV(R11:R13)</f>
        <v>0.17691859315973318</v>
      </c>
      <c r="S20">
        <f>STDEV(S11:S13)</f>
        <v>0.28069622901612229</v>
      </c>
      <c r="T20">
        <f>STDEV(T11:T13)</f>
        <v>1.0147381922399106</v>
      </c>
      <c r="V20">
        <f>TTEST(T8:T10,T11:T13,2,2)</f>
        <v>2.149114260143179E-6</v>
      </c>
      <c r="X20" s="8">
        <f t="shared" ref="X20:X24" si="12">R9</f>
        <v>18.872056451612902</v>
      </c>
      <c r="Y20">
        <f t="shared" si="2"/>
        <v>1887205.6451612902</v>
      </c>
    </row>
    <row r="21" spans="1:25">
      <c r="A21" t="s">
        <v>108</v>
      </c>
      <c r="B21" t="s">
        <v>219</v>
      </c>
      <c r="C21" s="5">
        <v>10</v>
      </c>
      <c r="D21" s="5">
        <v>1</v>
      </c>
      <c r="E21" s="5">
        <v>500</v>
      </c>
      <c r="F21" s="5">
        <v>10</v>
      </c>
      <c r="G21" s="5">
        <f t="shared" si="10"/>
        <v>510</v>
      </c>
      <c r="H21" s="5" t="s">
        <v>75</v>
      </c>
      <c r="I21" s="5">
        <v>49.6</v>
      </c>
      <c r="J21">
        <v>8272</v>
      </c>
      <c r="K21" s="6">
        <f t="shared" si="1"/>
        <v>17.010967741935485</v>
      </c>
      <c r="L21" t="s">
        <v>219</v>
      </c>
      <c r="X21" s="8">
        <f t="shared" si="12"/>
        <v>18.545080645161292</v>
      </c>
      <c r="Y21">
        <f t="shared" si="2"/>
        <v>1854508.0645161292</v>
      </c>
    </row>
    <row r="22" spans="1:25">
      <c r="A22" t="s">
        <v>110</v>
      </c>
      <c r="B22" t="s">
        <v>220</v>
      </c>
      <c r="C22" s="5">
        <v>10</v>
      </c>
      <c r="D22" s="5">
        <v>1</v>
      </c>
      <c r="E22" s="5">
        <v>500</v>
      </c>
      <c r="F22" s="5">
        <v>10</v>
      </c>
      <c r="G22" s="5">
        <f t="shared" si="10"/>
        <v>510</v>
      </c>
      <c r="H22" s="5" t="s">
        <v>75</v>
      </c>
      <c r="I22" s="5">
        <v>49.6</v>
      </c>
      <c r="J22">
        <v>8420</v>
      </c>
      <c r="K22" s="6">
        <f t="shared" si="1"/>
        <v>17.315322580645162</v>
      </c>
      <c r="L22" t="s">
        <v>220</v>
      </c>
      <c r="X22" s="8">
        <f t="shared" si="12"/>
        <v>17.010967741935485</v>
      </c>
      <c r="Y22">
        <f t="shared" si="2"/>
        <v>1701096.7741935484</v>
      </c>
    </row>
    <row r="23" spans="1:25">
      <c r="A23" t="s">
        <v>221</v>
      </c>
      <c r="B23" t="s">
        <v>222</v>
      </c>
      <c r="C23" s="5">
        <v>10</v>
      </c>
      <c r="D23" s="5">
        <v>1</v>
      </c>
      <c r="E23" s="5">
        <v>500</v>
      </c>
      <c r="F23" s="5">
        <v>10</v>
      </c>
      <c r="G23" s="5">
        <f t="shared" si="10"/>
        <v>510</v>
      </c>
      <c r="H23" s="5" t="s">
        <v>75</v>
      </c>
      <c r="I23" s="5">
        <v>49.6</v>
      </c>
      <c r="J23">
        <v>8270</v>
      </c>
      <c r="K23" s="6">
        <f t="shared" si="1"/>
        <v>17.006854838709678</v>
      </c>
      <c r="L23" t="s">
        <v>222</v>
      </c>
      <c r="X23" s="8">
        <f t="shared" si="12"/>
        <v>17.315322580645162</v>
      </c>
      <c r="Y23">
        <f t="shared" si="2"/>
        <v>1731532.2580645161</v>
      </c>
    </row>
    <row r="24" spans="1:25">
      <c r="A24" t="s">
        <v>223</v>
      </c>
      <c r="B24" t="s">
        <v>224</v>
      </c>
      <c r="C24" s="5">
        <v>10</v>
      </c>
      <c r="D24" s="5">
        <v>1</v>
      </c>
      <c r="E24" s="5">
        <v>500</v>
      </c>
      <c r="F24" s="5">
        <v>10</v>
      </c>
      <c r="G24" s="5">
        <f t="shared" si="10"/>
        <v>510</v>
      </c>
      <c r="H24" s="5" t="s">
        <v>75</v>
      </c>
      <c r="I24" s="5">
        <v>49.6</v>
      </c>
      <c r="J24">
        <v>20604</v>
      </c>
      <c r="K24" s="6">
        <f t="shared" si="1"/>
        <v>42.371129032258068</v>
      </c>
      <c r="L24" t="s">
        <v>224</v>
      </c>
      <c r="X24" s="8">
        <f t="shared" si="12"/>
        <v>17.006854838709678</v>
      </c>
      <c r="Y24">
        <f t="shared" si="2"/>
        <v>1700685.4838709678</v>
      </c>
    </row>
    <row r="25" spans="1:25">
      <c r="A25" t="s">
        <v>225</v>
      </c>
      <c r="B25" t="s">
        <v>226</v>
      </c>
      <c r="C25" s="5">
        <v>10</v>
      </c>
      <c r="D25" s="5">
        <v>1</v>
      </c>
      <c r="E25" s="5">
        <v>500</v>
      </c>
      <c r="F25" s="5">
        <v>10</v>
      </c>
      <c r="G25" s="5">
        <f t="shared" si="10"/>
        <v>510</v>
      </c>
      <c r="H25" s="5" t="s">
        <v>75</v>
      </c>
      <c r="I25" s="5">
        <v>49.6</v>
      </c>
      <c r="J25">
        <v>20857</v>
      </c>
      <c r="K25" s="6">
        <f t="shared" si="1"/>
        <v>42.891411290322587</v>
      </c>
      <c r="L25" t="s">
        <v>226</v>
      </c>
      <c r="X25" s="8">
        <f>S8</f>
        <v>42.371129032258068</v>
      </c>
      <c r="Y25">
        <f t="shared" si="2"/>
        <v>4237112.9032258065</v>
      </c>
    </row>
    <row r="26" spans="1:25">
      <c r="A26" t="s">
        <v>227</v>
      </c>
      <c r="B26" t="s">
        <v>228</v>
      </c>
      <c r="C26" s="5">
        <v>10</v>
      </c>
      <c r="D26" s="5">
        <v>1</v>
      </c>
      <c r="E26" s="5">
        <v>500</v>
      </c>
      <c r="F26" s="5">
        <v>10</v>
      </c>
      <c r="G26" s="5">
        <f t="shared" si="10"/>
        <v>510</v>
      </c>
      <c r="H26" s="5" t="s">
        <v>75</v>
      </c>
      <c r="I26" s="5">
        <v>49.6</v>
      </c>
      <c r="J26">
        <v>20632</v>
      </c>
      <c r="K26" s="6">
        <f t="shared" si="1"/>
        <v>42.428709677419356</v>
      </c>
      <c r="L26" t="s">
        <v>228</v>
      </c>
      <c r="X26" s="8">
        <f t="shared" ref="X26:X30" si="13">S9</f>
        <v>42.891411290322587</v>
      </c>
      <c r="Y26">
        <f t="shared" si="2"/>
        <v>4289141.1290322589</v>
      </c>
    </row>
    <row r="27" spans="1:25">
      <c r="A27" t="s">
        <v>229</v>
      </c>
      <c r="B27" t="s">
        <v>230</v>
      </c>
      <c r="C27" s="5">
        <v>10</v>
      </c>
      <c r="D27" s="5">
        <v>1</v>
      </c>
      <c r="E27" s="5">
        <v>500</v>
      </c>
      <c r="F27" s="5">
        <v>10</v>
      </c>
      <c r="G27" s="5">
        <f t="shared" si="10"/>
        <v>510</v>
      </c>
      <c r="H27" s="5" t="s">
        <v>75</v>
      </c>
      <c r="I27" s="5">
        <v>49.6</v>
      </c>
      <c r="J27">
        <v>10527</v>
      </c>
      <c r="K27" s="6">
        <f t="shared" si="1"/>
        <v>21.648266129032258</v>
      </c>
      <c r="L27" t="s">
        <v>230</v>
      </c>
      <c r="X27" s="8">
        <f t="shared" si="13"/>
        <v>42.428709677419356</v>
      </c>
      <c r="Y27">
        <f t="shared" si="2"/>
        <v>4242870.9677419355</v>
      </c>
    </row>
    <row r="28" spans="1:25">
      <c r="A28" t="s">
        <v>231</v>
      </c>
      <c r="B28" t="s">
        <v>232</v>
      </c>
      <c r="C28" s="5">
        <v>10</v>
      </c>
      <c r="D28" s="5">
        <v>1</v>
      </c>
      <c r="E28" s="5">
        <v>500</v>
      </c>
      <c r="F28" s="5">
        <v>10</v>
      </c>
      <c r="G28" s="5">
        <f t="shared" si="10"/>
        <v>510</v>
      </c>
      <c r="H28" s="5" t="s">
        <v>75</v>
      </c>
      <c r="I28" s="5">
        <v>49.6</v>
      </c>
      <c r="J28">
        <v>10798</v>
      </c>
      <c r="K28" s="6">
        <f t="shared" si="1"/>
        <v>22.205564516129034</v>
      </c>
      <c r="L28" t="s">
        <v>232</v>
      </c>
      <c r="X28" s="8">
        <f t="shared" si="13"/>
        <v>21.648266129032258</v>
      </c>
      <c r="Y28">
        <f t="shared" si="2"/>
        <v>2164826.6129032257</v>
      </c>
    </row>
    <row r="29" spans="1:25">
      <c r="A29" t="s">
        <v>233</v>
      </c>
      <c r="B29" t="s">
        <v>234</v>
      </c>
      <c r="C29" s="5">
        <v>10</v>
      </c>
      <c r="D29" s="5">
        <v>1</v>
      </c>
      <c r="E29" s="5">
        <v>500</v>
      </c>
      <c r="F29" s="5">
        <v>10</v>
      </c>
      <c r="G29" s="5">
        <f t="shared" si="10"/>
        <v>510</v>
      </c>
      <c r="H29" s="5" t="s">
        <v>75</v>
      </c>
      <c r="I29" s="5">
        <v>49.6</v>
      </c>
      <c r="J29">
        <v>10634</v>
      </c>
      <c r="K29" s="6">
        <f t="shared" si="1"/>
        <v>21.868306451612902</v>
      </c>
      <c r="L29" t="s">
        <v>234</v>
      </c>
      <c r="X29" s="8">
        <f t="shared" si="13"/>
        <v>22.205564516129034</v>
      </c>
      <c r="Y29">
        <f t="shared" si="2"/>
        <v>2220556.4516129033</v>
      </c>
    </row>
    <row r="30" spans="1:25">
      <c r="A30" t="s">
        <v>235</v>
      </c>
      <c r="B30" t="s">
        <v>236</v>
      </c>
      <c r="C30" s="5">
        <v>10</v>
      </c>
      <c r="D30" s="5">
        <v>1</v>
      </c>
      <c r="E30" s="5">
        <v>500</v>
      </c>
      <c r="F30" s="5">
        <v>10</v>
      </c>
      <c r="G30" s="5">
        <f t="shared" si="10"/>
        <v>510</v>
      </c>
      <c r="H30" s="5" t="s">
        <v>75</v>
      </c>
      <c r="I30" s="5">
        <v>49.6</v>
      </c>
      <c r="J30">
        <v>46379</v>
      </c>
      <c r="K30" s="6">
        <f t="shared" si="1"/>
        <v>95.376169354838723</v>
      </c>
      <c r="L30" t="s">
        <v>236</v>
      </c>
      <c r="X30" s="8">
        <f t="shared" si="13"/>
        <v>21.868306451612902</v>
      </c>
      <c r="Y30">
        <f t="shared" si="2"/>
        <v>2186830.6451612902</v>
      </c>
    </row>
    <row r="31" spans="1:25">
      <c r="A31" t="s">
        <v>237</v>
      </c>
      <c r="B31" t="s">
        <v>238</v>
      </c>
      <c r="C31" s="5">
        <v>10</v>
      </c>
      <c r="D31" s="5">
        <v>1</v>
      </c>
      <c r="E31" s="5">
        <v>500</v>
      </c>
      <c r="F31" s="5">
        <v>10</v>
      </c>
      <c r="G31" s="5">
        <f t="shared" si="10"/>
        <v>510</v>
      </c>
      <c r="H31" s="5" t="s">
        <v>75</v>
      </c>
      <c r="I31" s="5">
        <v>49.6</v>
      </c>
      <c r="J31">
        <v>44223</v>
      </c>
      <c r="K31" s="6">
        <f t="shared" si="1"/>
        <v>90.942459677419365</v>
      </c>
      <c r="L31" t="s">
        <v>238</v>
      </c>
      <c r="X31" s="8">
        <f>T8</f>
        <v>95.376169354838723</v>
      </c>
      <c r="Y31">
        <f t="shared" si="2"/>
        <v>9537616.9354838729</v>
      </c>
    </row>
    <row r="32" spans="1:25">
      <c r="A32" t="s">
        <v>239</v>
      </c>
      <c r="B32" t="s">
        <v>240</v>
      </c>
      <c r="C32" s="5">
        <v>10</v>
      </c>
      <c r="D32" s="5">
        <v>1</v>
      </c>
      <c r="E32" s="5">
        <v>500</v>
      </c>
      <c r="F32" s="5">
        <v>10</v>
      </c>
      <c r="G32" s="5">
        <f t="shared" si="10"/>
        <v>510</v>
      </c>
      <c r="H32" s="5" t="s">
        <v>75</v>
      </c>
      <c r="I32" s="5">
        <v>49.6</v>
      </c>
      <c r="J32">
        <v>43958</v>
      </c>
      <c r="K32" s="6">
        <f t="shared" si="1"/>
        <v>90.397499999999994</v>
      </c>
      <c r="L32" t="s">
        <v>240</v>
      </c>
      <c r="X32" s="8">
        <f t="shared" ref="X32:X36" si="14">T9</f>
        <v>90.942459677419365</v>
      </c>
      <c r="Y32">
        <f t="shared" si="2"/>
        <v>9094245.9677419364</v>
      </c>
    </row>
    <row r="33" spans="1:25">
      <c r="A33" t="s">
        <v>241</v>
      </c>
      <c r="B33" t="s">
        <v>242</v>
      </c>
      <c r="C33" s="5">
        <v>10</v>
      </c>
      <c r="D33" s="5">
        <v>1</v>
      </c>
      <c r="E33" s="5">
        <v>500</v>
      </c>
      <c r="F33" s="5">
        <v>10</v>
      </c>
      <c r="G33" s="5">
        <f t="shared" si="10"/>
        <v>510</v>
      </c>
      <c r="H33" s="5" t="s">
        <v>75</v>
      </c>
      <c r="I33" s="5">
        <v>49.6</v>
      </c>
      <c r="J33">
        <v>11247</v>
      </c>
      <c r="K33" s="6">
        <f t="shared" si="1"/>
        <v>23.128911290322584</v>
      </c>
      <c r="L33" t="s">
        <v>242</v>
      </c>
      <c r="X33" s="8">
        <f t="shared" si="14"/>
        <v>90.397499999999994</v>
      </c>
      <c r="Y33">
        <f t="shared" si="2"/>
        <v>9039750</v>
      </c>
    </row>
    <row r="34" spans="1:25">
      <c r="A34" t="s">
        <v>243</v>
      </c>
      <c r="B34" t="s">
        <v>244</v>
      </c>
      <c r="C34" s="5">
        <v>10</v>
      </c>
      <c r="D34" s="5">
        <v>1</v>
      </c>
      <c r="E34" s="5">
        <v>500</v>
      </c>
      <c r="F34" s="5">
        <v>10</v>
      </c>
      <c r="G34" s="5">
        <f t="shared" si="10"/>
        <v>510</v>
      </c>
      <c r="H34" s="5" t="s">
        <v>75</v>
      </c>
      <c r="I34" s="5">
        <v>49.6</v>
      </c>
      <c r="J34">
        <v>12018</v>
      </c>
      <c r="K34" s="6">
        <f t="shared" si="1"/>
        <v>24.714435483870968</v>
      </c>
      <c r="L34" t="s">
        <v>244</v>
      </c>
      <c r="X34" s="8">
        <f t="shared" si="14"/>
        <v>23.128911290322584</v>
      </c>
      <c r="Y34">
        <f t="shared" si="2"/>
        <v>2312891.1290322584</v>
      </c>
    </row>
    <row r="35" spans="1:25">
      <c r="A35" t="s">
        <v>245</v>
      </c>
      <c r="B35" t="s">
        <v>246</v>
      </c>
      <c r="C35" s="5">
        <v>10</v>
      </c>
      <c r="D35" s="5">
        <v>1</v>
      </c>
      <c r="E35" s="5">
        <v>500</v>
      </c>
      <c r="F35" s="5">
        <v>10</v>
      </c>
      <c r="G35" s="5">
        <f t="shared" si="10"/>
        <v>510</v>
      </c>
      <c r="H35" s="5" t="s">
        <v>75</v>
      </c>
      <c r="I35" s="5">
        <v>49.6</v>
      </c>
      <c r="J35">
        <v>11099</v>
      </c>
      <c r="K35" s="6">
        <f t="shared" si="1"/>
        <v>22.824556451612903</v>
      </c>
      <c r="L35" t="s">
        <v>246</v>
      </c>
      <c r="X35" s="8">
        <f t="shared" si="14"/>
        <v>24.714435483870968</v>
      </c>
      <c r="Y35">
        <f t="shared" si="2"/>
        <v>2471443.5483870967</v>
      </c>
    </row>
    <row r="36" spans="1:25">
      <c r="X36" s="8">
        <f t="shared" si="14"/>
        <v>22.824556451612903</v>
      </c>
      <c r="Y36">
        <f>X36*100000</f>
        <v>2282455.6451612902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6"/>
  </sheetPr>
  <dimension ref="A3:U48"/>
  <sheetViews>
    <sheetView workbookViewId="0">
      <selection activeCell="A3" sqref="A3:L11"/>
    </sheetView>
  </sheetViews>
  <sheetFormatPr defaultRowHeight="15"/>
  <sheetData>
    <row r="3" spans="1:21" ht="39.75">
      <c r="A3" s="4" t="s">
        <v>64</v>
      </c>
      <c r="B3" s="4" t="s">
        <v>65</v>
      </c>
      <c r="C3" s="4" t="s">
        <v>66</v>
      </c>
      <c r="D3" s="4" t="s">
        <v>67</v>
      </c>
      <c r="E3" s="4" t="s">
        <v>68</v>
      </c>
      <c r="F3" s="4" t="s">
        <v>69</v>
      </c>
      <c r="G3" s="4" t="s">
        <v>70</v>
      </c>
      <c r="H3" s="4" t="s">
        <v>71</v>
      </c>
      <c r="I3" s="4" t="s">
        <v>72</v>
      </c>
      <c r="J3" s="4" t="s">
        <v>193</v>
      </c>
      <c r="K3" s="4" t="s">
        <v>73</v>
      </c>
      <c r="L3" s="4" t="s">
        <v>74</v>
      </c>
    </row>
    <row r="4" spans="1:2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6"/>
    </row>
    <row r="5" spans="1:21">
      <c r="C5" s="5"/>
      <c r="D5" s="5"/>
      <c r="E5" s="5"/>
      <c r="F5" s="5"/>
      <c r="G5" s="5"/>
      <c r="H5" s="5" t="s">
        <v>75</v>
      </c>
      <c r="I5" s="5">
        <v>49.6</v>
      </c>
      <c r="J5" s="7"/>
      <c r="L5" s="6"/>
    </row>
    <row r="6" spans="1:21">
      <c r="A6" t="s">
        <v>138</v>
      </c>
      <c r="B6" t="s">
        <v>137</v>
      </c>
      <c r="C6" s="5"/>
      <c r="D6" s="5"/>
      <c r="E6" s="5"/>
      <c r="F6" s="5"/>
      <c r="G6" s="5"/>
      <c r="H6" s="5" t="s">
        <v>75</v>
      </c>
      <c r="I6" s="5">
        <v>49.6</v>
      </c>
      <c r="J6" s="7"/>
      <c r="K6">
        <v>1310</v>
      </c>
      <c r="L6" s="6"/>
      <c r="M6" t="s">
        <v>137</v>
      </c>
    </row>
    <row r="7" spans="1:21">
      <c r="A7" t="s">
        <v>139</v>
      </c>
      <c r="B7" t="s">
        <v>140</v>
      </c>
      <c r="C7" s="5"/>
      <c r="D7" s="5"/>
      <c r="E7" s="5"/>
      <c r="F7" s="5"/>
      <c r="G7" s="5"/>
      <c r="H7" s="5" t="s">
        <v>75</v>
      </c>
      <c r="I7" s="5">
        <v>49.6</v>
      </c>
      <c r="J7" s="7"/>
      <c r="K7">
        <v>1196</v>
      </c>
      <c r="L7" s="6"/>
      <c r="M7" t="s">
        <v>140</v>
      </c>
      <c r="Q7">
        <v>0</v>
      </c>
      <c r="R7">
        <v>3.5</v>
      </c>
      <c r="S7">
        <v>13.5</v>
      </c>
      <c r="T7">
        <v>19.75</v>
      </c>
      <c r="U7">
        <v>27</v>
      </c>
    </row>
    <row r="8" spans="1:21">
      <c r="A8" t="s">
        <v>141</v>
      </c>
      <c r="B8" t="s">
        <v>140</v>
      </c>
      <c r="C8" s="5"/>
      <c r="D8" s="5"/>
      <c r="E8" s="5"/>
      <c r="F8" s="5"/>
      <c r="G8" s="5"/>
      <c r="H8" s="5" t="s">
        <v>75</v>
      </c>
      <c r="I8" s="5">
        <v>49.6</v>
      </c>
      <c r="J8" s="7"/>
      <c r="K8">
        <v>1258</v>
      </c>
      <c r="L8" s="6"/>
      <c r="M8" t="s">
        <v>140</v>
      </c>
      <c r="P8" t="s">
        <v>281</v>
      </c>
      <c r="Q8" s="8">
        <f t="shared" ref="Q8:Q13" si="0">L10</f>
        <v>364.7810483870968</v>
      </c>
      <c r="R8" s="8">
        <f>L48</f>
        <v>441.42701612903227</v>
      </c>
      <c r="S8" s="8">
        <f t="shared" ref="S8:S13" si="1">L26</f>
        <v>575.23165322580633</v>
      </c>
      <c r="T8" s="8">
        <f t="shared" ref="T8:T13" si="2">L32</f>
        <v>394.06290322580651</v>
      </c>
      <c r="U8" s="8">
        <f t="shared" ref="U8:U13" si="3">L42</f>
        <v>447.80060483870972</v>
      </c>
    </row>
    <row r="9" spans="1:21">
      <c r="A9" t="s">
        <v>143</v>
      </c>
      <c r="B9" t="s">
        <v>142</v>
      </c>
      <c r="C9" s="5"/>
      <c r="D9" s="5"/>
      <c r="E9" s="5"/>
      <c r="F9" s="5"/>
      <c r="G9" s="5"/>
      <c r="H9" s="5" t="s">
        <v>75</v>
      </c>
      <c r="I9" s="5">
        <v>49.6</v>
      </c>
      <c r="J9" s="7">
        <v>912</v>
      </c>
      <c r="K9">
        <v>912</v>
      </c>
      <c r="L9" s="6"/>
      <c r="M9" t="s">
        <v>142</v>
      </c>
      <c r="P9" t="s">
        <v>282</v>
      </c>
      <c r="Q9" s="8">
        <f t="shared" si="0"/>
        <v>359.01834677419356</v>
      </c>
      <c r="R9" s="8">
        <f>L17</f>
        <v>350.50665322580653</v>
      </c>
      <c r="S9" s="8">
        <f t="shared" si="1"/>
        <v>418.03004032258065</v>
      </c>
      <c r="T9" s="8">
        <f t="shared" si="2"/>
        <v>458.97983870967738</v>
      </c>
      <c r="U9" s="8">
        <f t="shared" si="3"/>
        <v>413.93709677419361</v>
      </c>
    </row>
    <row r="10" spans="1:21">
      <c r="A10" t="s">
        <v>145</v>
      </c>
      <c r="B10" t="s">
        <v>194</v>
      </c>
      <c r="C10" s="5">
        <v>1000</v>
      </c>
      <c r="D10" s="5">
        <v>1</v>
      </c>
      <c r="E10" s="5">
        <v>500</v>
      </c>
      <c r="F10" s="5">
        <v>5</v>
      </c>
      <c r="G10" s="5">
        <f>E10+F10</f>
        <v>505</v>
      </c>
      <c r="H10" s="5" t="s">
        <v>75</v>
      </c>
      <c r="I10" s="5">
        <v>49.6</v>
      </c>
      <c r="J10" s="7">
        <v>912</v>
      </c>
      <c r="K10">
        <v>18826</v>
      </c>
      <c r="L10" s="6">
        <f>((((K10-J10)/((I10*D10)/1000))*C10)*(G10/E10))/1000000</f>
        <v>364.7810483870968</v>
      </c>
      <c r="M10" t="s">
        <v>194</v>
      </c>
      <c r="P10" t="s">
        <v>283</v>
      </c>
      <c r="Q10" s="8">
        <f t="shared" si="0"/>
        <v>371.86733870967743</v>
      </c>
      <c r="R10" s="8">
        <f>L18</f>
        <v>346.29153225806459</v>
      </c>
      <c r="S10" s="8">
        <f t="shared" si="1"/>
        <v>462.03427419354836</v>
      </c>
      <c r="T10" s="8">
        <f t="shared" si="2"/>
        <v>434.66653225806459</v>
      </c>
      <c r="U10" s="8">
        <f t="shared" si="3"/>
        <v>442.58770161290323</v>
      </c>
    </row>
    <row r="11" spans="1:21">
      <c r="A11" t="s">
        <v>146</v>
      </c>
      <c r="B11" t="s">
        <v>196</v>
      </c>
      <c r="C11" s="5">
        <v>1000</v>
      </c>
      <c r="D11" s="5">
        <v>1</v>
      </c>
      <c r="E11" s="5">
        <v>500</v>
      </c>
      <c r="F11" s="5">
        <v>5</v>
      </c>
      <c r="G11" s="5">
        <f>E11+F11</f>
        <v>505</v>
      </c>
      <c r="H11" s="5" t="s">
        <v>75</v>
      </c>
      <c r="I11" s="5">
        <v>49.6</v>
      </c>
      <c r="J11" s="7">
        <v>912</v>
      </c>
      <c r="K11">
        <v>18543</v>
      </c>
      <c r="L11" s="6">
        <f t="shared" ref="L11:L48" si="4">((((K11-J11)/((I11*D11)/1000))*C11)*(G11/E11))/1000000</f>
        <v>359.01834677419356</v>
      </c>
      <c r="M11" t="s">
        <v>196</v>
      </c>
      <c r="P11" t="s">
        <v>286</v>
      </c>
      <c r="Q11" s="8">
        <f t="shared" si="0"/>
        <v>18.243124999999999</v>
      </c>
      <c r="R11" s="8">
        <f>L19</f>
        <v>47.630866935483873</v>
      </c>
      <c r="S11" s="8">
        <f t="shared" si="1"/>
        <v>49.243608870967748</v>
      </c>
      <c r="T11" s="8">
        <f t="shared" si="2"/>
        <v>45.460181451612904</v>
      </c>
      <c r="U11" s="8">
        <f t="shared" si="3"/>
        <v>47.773407258064516</v>
      </c>
    </row>
    <row r="12" spans="1:21">
      <c r="A12" t="s">
        <v>147</v>
      </c>
      <c r="B12" t="s">
        <v>198</v>
      </c>
      <c r="C12" s="5">
        <v>1000</v>
      </c>
      <c r="D12" s="5">
        <v>1</v>
      </c>
      <c r="E12" s="5">
        <v>500</v>
      </c>
      <c r="F12" s="5">
        <v>5</v>
      </c>
      <c r="G12" s="5">
        <f t="shared" ref="G12:G48" si="5">E12+F12</f>
        <v>505</v>
      </c>
      <c r="H12" s="5" t="s">
        <v>75</v>
      </c>
      <c r="I12" s="5">
        <v>49.6</v>
      </c>
      <c r="J12" s="7">
        <v>912</v>
      </c>
      <c r="K12">
        <v>19174</v>
      </c>
      <c r="L12" s="6">
        <f t="shared" si="4"/>
        <v>371.86733870967743</v>
      </c>
      <c r="M12" t="s">
        <v>198</v>
      </c>
      <c r="P12" t="s">
        <v>284</v>
      </c>
      <c r="Q12" s="8">
        <f t="shared" si="0"/>
        <v>52.004818548387092</v>
      </c>
      <c r="R12" s="8">
        <f>L20</f>
        <v>48.911693548387092</v>
      </c>
      <c r="S12" s="8">
        <f t="shared" si="1"/>
        <v>48.612358870967746</v>
      </c>
      <c r="T12" s="8">
        <f t="shared" si="2"/>
        <v>46.295060483870969</v>
      </c>
      <c r="U12" s="8">
        <f t="shared" si="3"/>
        <v>47.822278225806457</v>
      </c>
    </row>
    <row r="13" spans="1:21">
      <c r="A13" t="s">
        <v>148</v>
      </c>
      <c r="B13" t="s">
        <v>200</v>
      </c>
      <c r="C13" s="5">
        <v>100</v>
      </c>
      <c r="D13" s="5">
        <v>1</v>
      </c>
      <c r="E13" s="5">
        <v>500</v>
      </c>
      <c r="F13" s="5">
        <v>5</v>
      </c>
      <c r="G13" s="5">
        <f t="shared" si="5"/>
        <v>505</v>
      </c>
      <c r="H13" s="5" t="s">
        <v>75</v>
      </c>
      <c r="I13" s="5">
        <v>49.6</v>
      </c>
      <c r="J13" s="7">
        <v>912</v>
      </c>
      <c r="K13">
        <v>9871</v>
      </c>
      <c r="L13" s="6">
        <f t="shared" si="4"/>
        <v>18.243124999999999</v>
      </c>
      <c r="M13" t="s">
        <v>200</v>
      </c>
      <c r="P13" t="s">
        <v>285</v>
      </c>
      <c r="Q13" s="8">
        <f t="shared" si="0"/>
        <v>52.870241935483875</v>
      </c>
      <c r="R13" s="8">
        <f>L21</f>
        <v>49.447237903225812</v>
      </c>
      <c r="S13" s="8">
        <f t="shared" si="1"/>
        <v>48.94020161290323</v>
      </c>
      <c r="T13" s="8">
        <f t="shared" si="2"/>
        <v>49.009435483870966</v>
      </c>
      <c r="U13" s="8">
        <f t="shared" si="3"/>
        <v>47.871149193548391</v>
      </c>
    </row>
    <row r="14" spans="1:21">
      <c r="A14" t="s">
        <v>149</v>
      </c>
      <c r="B14" t="s">
        <v>202</v>
      </c>
      <c r="C14" s="5">
        <v>100</v>
      </c>
      <c r="D14" s="5">
        <v>1</v>
      </c>
      <c r="E14" s="5">
        <v>500</v>
      </c>
      <c r="F14" s="5">
        <v>5</v>
      </c>
      <c r="G14" s="5">
        <f t="shared" si="5"/>
        <v>505</v>
      </c>
      <c r="H14" s="5" t="s">
        <v>75</v>
      </c>
      <c r="I14" s="5">
        <v>49.6</v>
      </c>
      <c r="J14" s="7">
        <v>912</v>
      </c>
      <c r="K14">
        <v>26451</v>
      </c>
      <c r="L14" s="6">
        <f t="shared" si="4"/>
        <v>52.004818548387092</v>
      </c>
      <c r="M14" t="s">
        <v>202</v>
      </c>
    </row>
    <row r="15" spans="1:21">
      <c r="A15" t="s">
        <v>150</v>
      </c>
      <c r="B15" t="s">
        <v>204</v>
      </c>
      <c r="C15" s="5">
        <v>100</v>
      </c>
      <c r="D15" s="5">
        <v>1</v>
      </c>
      <c r="E15" s="5">
        <v>500</v>
      </c>
      <c r="F15" s="5">
        <v>5</v>
      </c>
      <c r="G15" s="5">
        <f t="shared" si="5"/>
        <v>505</v>
      </c>
      <c r="H15" s="5" t="s">
        <v>75</v>
      </c>
      <c r="I15" s="5">
        <v>49.6</v>
      </c>
      <c r="J15" s="7">
        <v>912</v>
      </c>
      <c r="K15">
        <v>26876</v>
      </c>
      <c r="L15" s="6">
        <f t="shared" si="4"/>
        <v>52.870241935483875</v>
      </c>
      <c r="M15" t="s">
        <v>204</v>
      </c>
      <c r="Q15" s="9">
        <f>Q7</f>
        <v>0</v>
      </c>
      <c r="R15" s="8">
        <f>R7</f>
        <v>3.5</v>
      </c>
      <c r="S15" s="9">
        <f>S7</f>
        <v>13.5</v>
      </c>
      <c r="T15" s="9">
        <f>T7</f>
        <v>19.75</v>
      </c>
      <c r="U15" s="9">
        <f>U7</f>
        <v>27</v>
      </c>
    </row>
    <row r="16" spans="1:21">
      <c r="A16" t="s">
        <v>151</v>
      </c>
      <c r="B16" t="s">
        <v>206</v>
      </c>
      <c r="C16" s="5">
        <v>1000</v>
      </c>
      <c r="D16" s="5">
        <v>1</v>
      </c>
      <c r="E16" s="5">
        <v>500</v>
      </c>
      <c r="F16" s="5">
        <v>5</v>
      </c>
      <c r="G16" s="5">
        <f t="shared" si="5"/>
        <v>505</v>
      </c>
      <c r="H16" s="5" t="s">
        <v>75</v>
      </c>
      <c r="I16" s="5">
        <v>49.6</v>
      </c>
      <c r="J16" s="7">
        <v>912</v>
      </c>
      <c r="K16">
        <v>27798</v>
      </c>
      <c r="L16" s="6">
        <f t="shared" si="4"/>
        <v>547.47701612903222</v>
      </c>
      <c r="M16" t="s">
        <v>206</v>
      </c>
      <c r="O16" t="s">
        <v>287</v>
      </c>
      <c r="P16" t="s">
        <v>13</v>
      </c>
      <c r="Q16" s="8">
        <f>AVERAGE(Q8:Q10)</f>
        <v>365.22224462365597</v>
      </c>
      <c r="R16" s="8">
        <f>AVERAGE(R8:R10)</f>
        <v>379.40840053763446</v>
      </c>
      <c r="S16" s="8">
        <f>AVERAGE(S8:S10)</f>
        <v>485.09865591397846</v>
      </c>
      <c r="T16" s="8">
        <f>AVERAGE(T8:T10)</f>
        <v>429.23642473118281</v>
      </c>
      <c r="U16" s="8">
        <f>AVERAGE(U8:U10)</f>
        <v>434.77513440860213</v>
      </c>
    </row>
    <row r="17" spans="1:21">
      <c r="A17" t="s">
        <v>247</v>
      </c>
      <c r="B17" t="s">
        <v>208</v>
      </c>
      <c r="C17" s="5">
        <v>1000</v>
      </c>
      <c r="D17" s="5">
        <v>1</v>
      </c>
      <c r="E17" s="5">
        <v>500</v>
      </c>
      <c r="F17" s="5">
        <v>5</v>
      </c>
      <c r="G17" s="5">
        <f t="shared" si="5"/>
        <v>505</v>
      </c>
      <c r="H17" s="5" t="s">
        <v>75</v>
      </c>
      <c r="I17" s="5">
        <v>49.6</v>
      </c>
      <c r="J17" s="7">
        <v>912</v>
      </c>
      <c r="K17">
        <v>18125</v>
      </c>
      <c r="L17" s="6">
        <f t="shared" si="4"/>
        <v>350.50665322580653</v>
      </c>
      <c r="M17" t="s">
        <v>208</v>
      </c>
      <c r="P17" t="s">
        <v>14</v>
      </c>
      <c r="Q17" s="8">
        <f>AVERAGE(Q11:Q13)</f>
        <v>41.039395161290322</v>
      </c>
      <c r="R17" s="8">
        <f>AVERAGE(R11:R13)</f>
        <v>48.663266129032259</v>
      </c>
      <c r="S17" s="8">
        <f>AVERAGE(S11:S13)</f>
        <v>48.932056451612908</v>
      </c>
      <c r="T17" s="8">
        <f>AVERAGE(T11:T13)</f>
        <v>46.921559139784939</v>
      </c>
      <c r="U17" s="8">
        <f>AVERAGE(U11:U13)</f>
        <v>47.82227822580645</v>
      </c>
    </row>
    <row r="18" spans="1:21">
      <c r="A18" t="s">
        <v>248</v>
      </c>
      <c r="B18" t="s">
        <v>210</v>
      </c>
      <c r="C18" s="5">
        <v>1000</v>
      </c>
      <c r="D18" s="5">
        <v>1</v>
      </c>
      <c r="E18" s="5">
        <v>500</v>
      </c>
      <c r="F18" s="5">
        <v>5</v>
      </c>
      <c r="G18" s="5">
        <f t="shared" si="5"/>
        <v>505</v>
      </c>
      <c r="H18" s="5" t="s">
        <v>75</v>
      </c>
      <c r="I18" s="5">
        <v>49.6</v>
      </c>
      <c r="J18" s="7">
        <v>912</v>
      </c>
      <c r="K18">
        <v>17918</v>
      </c>
      <c r="L18" s="6">
        <f t="shared" si="4"/>
        <v>346.29153225806459</v>
      </c>
      <c r="M18" t="s">
        <v>210</v>
      </c>
    </row>
    <row r="19" spans="1:21">
      <c r="A19" t="s">
        <v>249</v>
      </c>
      <c r="B19" t="s">
        <v>212</v>
      </c>
      <c r="C19" s="5">
        <v>100</v>
      </c>
      <c r="D19" s="5">
        <v>1</v>
      </c>
      <c r="E19" s="5">
        <v>500</v>
      </c>
      <c r="F19" s="5">
        <v>5</v>
      </c>
      <c r="G19" s="5">
        <f t="shared" si="5"/>
        <v>505</v>
      </c>
      <c r="H19" s="5" t="s">
        <v>75</v>
      </c>
      <c r="I19" s="5">
        <v>49.6</v>
      </c>
      <c r="J19" s="7">
        <v>912</v>
      </c>
      <c r="K19">
        <v>24303</v>
      </c>
      <c r="L19" s="6">
        <f t="shared" si="4"/>
        <v>47.630866935483873</v>
      </c>
      <c r="M19" t="s">
        <v>212</v>
      </c>
      <c r="O19" t="s">
        <v>12</v>
      </c>
      <c r="P19" t="s">
        <v>13</v>
      </c>
      <c r="Q19">
        <f>STDEV(Q8:Q10)</f>
        <v>6.4358479650235534</v>
      </c>
      <c r="R19">
        <f>STDEV(R8:R10)</f>
        <v>53.751030884052362</v>
      </c>
      <c r="S19">
        <f>STDEV(S8:S10)</f>
        <v>81.099081702280245</v>
      </c>
      <c r="T19">
        <f>STDEV(T8:T10)</f>
        <v>32.797357804698031</v>
      </c>
      <c r="U19">
        <f>STDEV(U8:U10)</f>
        <v>18.233525422972299</v>
      </c>
    </row>
    <row r="20" spans="1:21">
      <c r="A20" t="s">
        <v>250</v>
      </c>
      <c r="B20" t="s">
        <v>214</v>
      </c>
      <c r="C20" s="5">
        <v>100</v>
      </c>
      <c r="D20" s="5">
        <v>1</v>
      </c>
      <c r="E20" s="5">
        <v>500</v>
      </c>
      <c r="F20" s="5">
        <v>5</v>
      </c>
      <c r="G20" s="5">
        <f t="shared" si="5"/>
        <v>505</v>
      </c>
      <c r="H20" s="5" t="s">
        <v>75</v>
      </c>
      <c r="I20" s="5">
        <v>49.6</v>
      </c>
      <c r="J20" s="7">
        <v>912</v>
      </c>
      <c r="K20">
        <v>24932</v>
      </c>
      <c r="L20" s="6">
        <f t="shared" si="4"/>
        <v>48.911693548387092</v>
      </c>
      <c r="M20" t="s">
        <v>214</v>
      </c>
      <c r="P20" t="s">
        <v>14</v>
      </c>
      <c r="Q20">
        <f>STDEV(Q11:Q13)</f>
        <v>19.746890625099308</v>
      </c>
      <c r="R20">
        <f>STDEV(R11:R13)</f>
        <v>0.93332095772538159</v>
      </c>
      <c r="S20">
        <f>STDEV(S11:S13)</f>
        <v>0.31570381430121253</v>
      </c>
      <c r="T20">
        <f>STDEV(T11:T13)</f>
        <v>1.8557145445276715</v>
      </c>
      <c r="U20">
        <f>STDEV(U11:U13)</f>
        <v>4.8870967741937221E-2</v>
      </c>
    </row>
    <row r="21" spans="1:21">
      <c r="A21" t="s">
        <v>251</v>
      </c>
      <c r="B21" t="s">
        <v>215</v>
      </c>
      <c r="C21" s="5">
        <v>100</v>
      </c>
      <c r="D21" s="5">
        <v>1</v>
      </c>
      <c r="E21" s="5">
        <v>500</v>
      </c>
      <c r="F21" s="5">
        <v>5</v>
      </c>
      <c r="G21" s="5">
        <f t="shared" si="5"/>
        <v>505</v>
      </c>
      <c r="H21" s="5" t="s">
        <v>75</v>
      </c>
      <c r="I21" s="5">
        <v>49.6</v>
      </c>
      <c r="J21" s="7">
        <v>912</v>
      </c>
      <c r="K21">
        <v>25195</v>
      </c>
      <c r="L21" s="6">
        <f t="shared" si="4"/>
        <v>49.447237903225812</v>
      </c>
      <c r="M21" t="s">
        <v>215</v>
      </c>
    </row>
    <row r="22" spans="1:21">
      <c r="A22" t="s">
        <v>252</v>
      </c>
      <c r="B22" t="s">
        <v>137</v>
      </c>
      <c r="C22" s="5"/>
      <c r="D22" s="5"/>
      <c r="E22" s="5"/>
      <c r="F22" s="5"/>
      <c r="G22" s="5"/>
      <c r="H22" s="5" t="s">
        <v>75</v>
      </c>
      <c r="I22" s="5">
        <v>49.6</v>
      </c>
      <c r="J22" s="7"/>
      <c r="K22">
        <v>882</v>
      </c>
      <c r="L22" s="6"/>
      <c r="M22" t="s">
        <v>137</v>
      </c>
    </row>
    <row r="23" spans="1:21">
      <c r="A23" t="s">
        <v>253</v>
      </c>
      <c r="B23" t="s">
        <v>140</v>
      </c>
      <c r="C23" s="5"/>
      <c r="D23" s="5"/>
      <c r="E23" s="5"/>
      <c r="F23" s="5"/>
      <c r="G23" s="5"/>
      <c r="H23" s="5" t="s">
        <v>75</v>
      </c>
      <c r="I23" s="5">
        <v>49.6</v>
      </c>
      <c r="J23" s="7"/>
      <c r="K23">
        <v>957</v>
      </c>
      <c r="L23" s="6"/>
      <c r="M23" t="s">
        <v>140</v>
      </c>
    </row>
    <row r="24" spans="1:21">
      <c r="A24" t="s">
        <v>254</v>
      </c>
      <c r="B24" t="s">
        <v>142</v>
      </c>
      <c r="C24" s="5"/>
      <c r="D24" s="5"/>
      <c r="E24" s="5"/>
      <c r="F24" s="5"/>
      <c r="G24" s="5"/>
      <c r="H24" s="5" t="s">
        <v>75</v>
      </c>
      <c r="I24" s="5">
        <v>49.6</v>
      </c>
      <c r="J24" s="7"/>
      <c r="K24">
        <v>501</v>
      </c>
      <c r="L24" s="6"/>
      <c r="M24" t="s">
        <v>142</v>
      </c>
    </row>
    <row r="25" spans="1:21">
      <c r="A25" t="s">
        <v>255</v>
      </c>
      <c r="B25" t="s">
        <v>144</v>
      </c>
      <c r="C25" s="5"/>
      <c r="D25" s="5"/>
      <c r="E25" s="5"/>
      <c r="F25" s="5"/>
      <c r="G25" s="5"/>
      <c r="H25" s="5" t="s">
        <v>75</v>
      </c>
      <c r="I25" s="5">
        <v>49.6</v>
      </c>
      <c r="J25" s="7">
        <v>487</v>
      </c>
      <c r="K25">
        <v>487</v>
      </c>
      <c r="L25" s="6"/>
      <c r="M25" t="s">
        <v>144</v>
      </c>
    </row>
    <row r="26" spans="1:21">
      <c r="A26" t="s">
        <v>256</v>
      </c>
      <c r="B26" t="s">
        <v>216</v>
      </c>
      <c r="C26" s="5">
        <v>1000</v>
      </c>
      <c r="D26" s="5">
        <v>1</v>
      </c>
      <c r="E26" s="5">
        <v>500</v>
      </c>
      <c r="F26" s="5">
        <v>5</v>
      </c>
      <c r="G26" s="5">
        <f t="shared" si="5"/>
        <v>505</v>
      </c>
      <c r="H26" s="5" t="s">
        <v>75</v>
      </c>
      <c r="I26" s="5">
        <v>49.6</v>
      </c>
      <c r="J26" s="7">
        <v>487</v>
      </c>
      <c r="K26">
        <v>28736</v>
      </c>
      <c r="L26" s="6">
        <f t="shared" si="4"/>
        <v>575.23165322580633</v>
      </c>
      <c r="M26" t="s">
        <v>216</v>
      </c>
    </row>
    <row r="27" spans="1:21">
      <c r="A27" t="s">
        <v>162</v>
      </c>
      <c r="B27" t="s">
        <v>217</v>
      </c>
      <c r="C27" s="5">
        <v>1000</v>
      </c>
      <c r="D27" s="5">
        <v>1</v>
      </c>
      <c r="E27" s="5">
        <v>500</v>
      </c>
      <c r="F27" s="5">
        <v>5</v>
      </c>
      <c r="G27" s="5">
        <f t="shared" si="5"/>
        <v>505</v>
      </c>
      <c r="H27" s="5" t="s">
        <v>75</v>
      </c>
      <c r="I27" s="5">
        <v>49.6</v>
      </c>
      <c r="J27" s="7">
        <v>487</v>
      </c>
      <c r="K27">
        <v>21016</v>
      </c>
      <c r="L27" s="6">
        <f t="shared" si="4"/>
        <v>418.03004032258065</v>
      </c>
      <c r="M27" t="s">
        <v>217</v>
      </c>
    </row>
    <row r="28" spans="1:21">
      <c r="A28" t="s">
        <v>163</v>
      </c>
      <c r="B28" t="s">
        <v>218</v>
      </c>
      <c r="C28" s="5">
        <v>1000</v>
      </c>
      <c r="D28" s="5">
        <v>1</v>
      </c>
      <c r="E28" s="5">
        <v>500</v>
      </c>
      <c r="F28" s="5">
        <v>5</v>
      </c>
      <c r="G28" s="5">
        <f t="shared" si="5"/>
        <v>505</v>
      </c>
      <c r="H28" s="5" t="s">
        <v>75</v>
      </c>
      <c r="I28" s="5">
        <v>49.6</v>
      </c>
      <c r="J28" s="7">
        <v>487</v>
      </c>
      <c r="K28">
        <v>23177</v>
      </c>
      <c r="L28" s="6">
        <f t="shared" si="4"/>
        <v>462.03427419354836</v>
      </c>
      <c r="M28" t="s">
        <v>218</v>
      </c>
    </row>
    <row r="29" spans="1:21">
      <c r="A29" t="s">
        <v>164</v>
      </c>
      <c r="B29" t="s">
        <v>219</v>
      </c>
      <c r="C29" s="5">
        <v>100</v>
      </c>
      <c r="D29" s="5">
        <v>1</v>
      </c>
      <c r="E29" s="5">
        <v>500</v>
      </c>
      <c r="F29" s="5">
        <v>5</v>
      </c>
      <c r="G29" s="5">
        <f t="shared" si="5"/>
        <v>505</v>
      </c>
      <c r="H29" s="5" t="s">
        <v>75</v>
      </c>
      <c r="I29" s="5">
        <v>49.6</v>
      </c>
      <c r="J29" s="7">
        <v>487</v>
      </c>
      <c r="K29">
        <v>24670</v>
      </c>
      <c r="L29" s="6">
        <f t="shared" si="4"/>
        <v>49.243608870967748</v>
      </c>
      <c r="M29" t="s">
        <v>219</v>
      </c>
    </row>
    <row r="30" spans="1:21">
      <c r="A30" t="s">
        <v>165</v>
      </c>
      <c r="B30" t="s">
        <v>220</v>
      </c>
      <c r="C30" s="5">
        <v>100</v>
      </c>
      <c r="D30" s="5">
        <v>1</v>
      </c>
      <c r="E30" s="5">
        <v>500</v>
      </c>
      <c r="F30" s="5">
        <v>5</v>
      </c>
      <c r="G30" s="5">
        <f t="shared" si="5"/>
        <v>505</v>
      </c>
      <c r="H30" s="5" t="s">
        <v>75</v>
      </c>
      <c r="I30" s="5">
        <v>49.6</v>
      </c>
      <c r="J30" s="7">
        <v>487</v>
      </c>
      <c r="K30">
        <v>24360</v>
      </c>
      <c r="L30" s="6">
        <f t="shared" si="4"/>
        <v>48.612358870967746</v>
      </c>
      <c r="M30" t="s">
        <v>220</v>
      </c>
    </row>
    <row r="31" spans="1:21">
      <c r="A31" t="s">
        <v>166</v>
      </c>
      <c r="B31" t="s">
        <v>222</v>
      </c>
      <c r="C31" s="5">
        <v>100</v>
      </c>
      <c r="D31" s="5">
        <v>1</v>
      </c>
      <c r="E31" s="5">
        <v>500</v>
      </c>
      <c r="F31" s="5">
        <v>5</v>
      </c>
      <c r="G31" s="5">
        <f t="shared" si="5"/>
        <v>505</v>
      </c>
      <c r="H31" s="5" t="s">
        <v>75</v>
      </c>
      <c r="I31" s="5">
        <v>49.6</v>
      </c>
      <c r="J31" s="7">
        <v>487</v>
      </c>
      <c r="K31">
        <v>24521</v>
      </c>
      <c r="L31" s="6">
        <f t="shared" si="4"/>
        <v>48.94020161290323</v>
      </c>
      <c r="M31" t="s">
        <v>222</v>
      </c>
    </row>
    <row r="32" spans="1:21">
      <c r="A32" t="s">
        <v>167</v>
      </c>
      <c r="B32" t="s">
        <v>224</v>
      </c>
      <c r="C32" s="5">
        <v>1000</v>
      </c>
      <c r="D32" s="5">
        <v>1</v>
      </c>
      <c r="E32" s="5">
        <v>500</v>
      </c>
      <c r="F32" s="5">
        <v>5</v>
      </c>
      <c r="G32" s="5">
        <f t="shared" si="5"/>
        <v>505</v>
      </c>
      <c r="H32" s="5" t="s">
        <v>75</v>
      </c>
      <c r="I32" s="5">
        <v>49.6</v>
      </c>
      <c r="J32" s="7">
        <v>487</v>
      </c>
      <c r="K32">
        <v>19839</v>
      </c>
      <c r="L32" s="6">
        <f t="shared" si="4"/>
        <v>394.06290322580651</v>
      </c>
      <c r="M32" t="s">
        <v>224</v>
      </c>
    </row>
    <row r="33" spans="1:13">
      <c r="A33" t="s">
        <v>168</v>
      </c>
      <c r="B33" t="s">
        <v>226</v>
      </c>
      <c r="C33" s="5">
        <v>1000</v>
      </c>
      <c r="D33" s="5">
        <v>1</v>
      </c>
      <c r="E33" s="5">
        <v>500</v>
      </c>
      <c r="F33" s="5">
        <v>5</v>
      </c>
      <c r="G33" s="5">
        <f t="shared" si="5"/>
        <v>505</v>
      </c>
      <c r="H33" s="5" t="s">
        <v>75</v>
      </c>
      <c r="I33" s="5">
        <v>49.6</v>
      </c>
      <c r="J33" s="7">
        <v>487</v>
      </c>
      <c r="K33">
        <v>23027</v>
      </c>
      <c r="L33" s="6">
        <f t="shared" si="4"/>
        <v>458.97983870967738</v>
      </c>
      <c r="M33" t="s">
        <v>226</v>
      </c>
    </row>
    <row r="34" spans="1:13">
      <c r="A34" t="s">
        <v>169</v>
      </c>
      <c r="B34" t="s">
        <v>228</v>
      </c>
      <c r="C34" s="5">
        <v>1000</v>
      </c>
      <c r="D34" s="5">
        <v>1</v>
      </c>
      <c r="E34" s="5">
        <v>500</v>
      </c>
      <c r="F34" s="5">
        <v>5</v>
      </c>
      <c r="G34" s="5">
        <f t="shared" si="5"/>
        <v>505</v>
      </c>
      <c r="H34" s="5" t="s">
        <v>75</v>
      </c>
      <c r="I34" s="5">
        <v>49.6</v>
      </c>
      <c r="J34" s="7">
        <v>487</v>
      </c>
      <c r="K34">
        <v>21833</v>
      </c>
      <c r="L34" s="6">
        <f t="shared" si="4"/>
        <v>434.66653225806459</v>
      </c>
      <c r="M34" t="s">
        <v>228</v>
      </c>
    </row>
    <row r="35" spans="1:13">
      <c r="A35" t="s">
        <v>170</v>
      </c>
      <c r="B35" t="s">
        <v>230</v>
      </c>
      <c r="C35" s="5">
        <v>100</v>
      </c>
      <c r="D35" s="5">
        <v>1</v>
      </c>
      <c r="E35" s="5">
        <v>500</v>
      </c>
      <c r="F35" s="5">
        <v>5</v>
      </c>
      <c r="G35" s="5">
        <f t="shared" si="5"/>
        <v>505</v>
      </c>
      <c r="H35" s="5" t="s">
        <v>75</v>
      </c>
      <c r="I35" s="5">
        <v>49.6</v>
      </c>
      <c r="J35" s="7">
        <v>487</v>
      </c>
      <c r="K35">
        <v>22812</v>
      </c>
      <c r="L35" s="6">
        <f t="shared" si="4"/>
        <v>45.460181451612904</v>
      </c>
      <c r="M35" t="s">
        <v>230</v>
      </c>
    </row>
    <row r="36" spans="1:13">
      <c r="A36" t="s">
        <v>171</v>
      </c>
      <c r="B36" t="s">
        <v>232</v>
      </c>
      <c r="C36" s="5">
        <v>100</v>
      </c>
      <c r="D36" s="5">
        <v>1</v>
      </c>
      <c r="E36" s="5">
        <v>500</v>
      </c>
      <c r="F36" s="5">
        <v>5</v>
      </c>
      <c r="G36" s="5">
        <f t="shared" si="5"/>
        <v>505</v>
      </c>
      <c r="H36" s="5" t="s">
        <v>75</v>
      </c>
      <c r="I36" s="5">
        <v>49.6</v>
      </c>
      <c r="J36" s="7">
        <v>487</v>
      </c>
      <c r="K36">
        <v>23222</v>
      </c>
      <c r="L36" s="6">
        <f t="shared" si="4"/>
        <v>46.295060483870969</v>
      </c>
      <c r="M36" t="s">
        <v>232</v>
      </c>
    </row>
    <row r="37" spans="1:13">
      <c r="A37" t="s">
        <v>257</v>
      </c>
      <c r="B37" t="s">
        <v>234</v>
      </c>
      <c r="C37" s="5">
        <v>100</v>
      </c>
      <c r="D37" s="5">
        <v>1</v>
      </c>
      <c r="E37" s="5">
        <v>500</v>
      </c>
      <c r="F37" s="5">
        <v>5</v>
      </c>
      <c r="G37" s="5">
        <f t="shared" si="5"/>
        <v>505</v>
      </c>
      <c r="H37" s="5" t="s">
        <v>75</v>
      </c>
      <c r="I37" s="5">
        <v>49.6</v>
      </c>
      <c r="J37" s="7">
        <v>487</v>
      </c>
      <c r="K37">
        <v>24555</v>
      </c>
      <c r="L37" s="6">
        <f t="shared" si="4"/>
        <v>49.009435483870966</v>
      </c>
      <c r="M37" t="s">
        <v>234</v>
      </c>
    </row>
    <row r="38" spans="1:13">
      <c r="A38" t="s">
        <v>179</v>
      </c>
      <c r="B38" t="s">
        <v>137</v>
      </c>
      <c r="C38" s="5"/>
      <c r="D38" s="5"/>
      <c r="E38" s="5"/>
      <c r="F38" s="5"/>
      <c r="G38" s="5"/>
      <c r="H38" s="5" t="s">
        <v>75</v>
      </c>
      <c r="I38" s="5">
        <v>49.6</v>
      </c>
      <c r="J38" s="7"/>
      <c r="K38">
        <v>2064</v>
      </c>
      <c r="L38" s="6"/>
      <c r="M38" t="s">
        <v>137</v>
      </c>
    </row>
    <row r="39" spans="1:13">
      <c r="A39" t="s">
        <v>180</v>
      </c>
      <c r="B39" t="s">
        <v>140</v>
      </c>
      <c r="C39" s="5"/>
      <c r="D39" s="5"/>
      <c r="E39" s="5"/>
      <c r="F39" s="5"/>
      <c r="G39" s="5"/>
      <c r="H39" s="5" t="s">
        <v>75</v>
      </c>
      <c r="I39" s="5">
        <v>49.6</v>
      </c>
      <c r="J39" s="7"/>
      <c r="K39">
        <v>2079</v>
      </c>
      <c r="L39" s="6"/>
      <c r="M39" t="s">
        <v>140</v>
      </c>
    </row>
    <row r="40" spans="1:13">
      <c r="A40" t="s">
        <v>258</v>
      </c>
      <c r="B40" t="s">
        <v>142</v>
      </c>
      <c r="C40" s="5"/>
      <c r="D40" s="5"/>
      <c r="E40" s="5"/>
      <c r="F40" s="5"/>
      <c r="G40" s="5"/>
      <c r="H40" s="5" t="s">
        <v>75</v>
      </c>
      <c r="I40" s="5">
        <v>49.6</v>
      </c>
      <c r="J40" s="7"/>
      <c r="K40">
        <v>1393</v>
      </c>
      <c r="L40" s="6"/>
      <c r="M40" t="s">
        <v>142</v>
      </c>
    </row>
    <row r="41" spans="1:13">
      <c r="A41" t="s">
        <v>259</v>
      </c>
      <c r="B41" t="s">
        <v>144</v>
      </c>
      <c r="C41" s="5"/>
      <c r="D41" s="5"/>
      <c r="E41" s="5"/>
      <c r="F41" s="5"/>
      <c r="G41" s="5"/>
      <c r="H41" s="5" t="s">
        <v>75</v>
      </c>
      <c r="I41" s="5">
        <v>49.6</v>
      </c>
      <c r="J41" s="7">
        <v>736</v>
      </c>
      <c r="K41">
        <v>736</v>
      </c>
      <c r="L41" s="6"/>
      <c r="M41" t="s">
        <v>144</v>
      </c>
    </row>
    <row r="42" spans="1:13">
      <c r="A42" t="s">
        <v>260</v>
      </c>
      <c r="B42" t="s">
        <v>236</v>
      </c>
      <c r="C42" s="5">
        <v>1000</v>
      </c>
      <c r="D42" s="5">
        <v>1</v>
      </c>
      <c r="E42" s="5">
        <v>500</v>
      </c>
      <c r="F42" s="5">
        <v>5</v>
      </c>
      <c r="G42" s="5">
        <f t="shared" si="5"/>
        <v>505</v>
      </c>
      <c r="H42" s="5" t="s">
        <v>75</v>
      </c>
      <c r="I42" s="5">
        <v>49.6</v>
      </c>
      <c r="J42" s="7">
        <v>736</v>
      </c>
      <c r="K42">
        <v>22727</v>
      </c>
      <c r="L42" s="6">
        <f t="shared" si="4"/>
        <v>447.80060483870972</v>
      </c>
      <c r="M42" t="s">
        <v>236</v>
      </c>
    </row>
    <row r="43" spans="1:13">
      <c r="A43" t="s">
        <v>261</v>
      </c>
      <c r="B43" t="s">
        <v>238</v>
      </c>
      <c r="C43" s="5">
        <v>1000</v>
      </c>
      <c r="D43" s="5">
        <v>1</v>
      </c>
      <c r="E43" s="5">
        <v>500</v>
      </c>
      <c r="F43" s="5">
        <v>5</v>
      </c>
      <c r="G43" s="5">
        <f t="shared" si="5"/>
        <v>505</v>
      </c>
      <c r="H43" s="5" t="s">
        <v>75</v>
      </c>
      <c r="I43" s="5">
        <v>49.6</v>
      </c>
      <c r="J43" s="7">
        <v>736</v>
      </c>
      <c r="K43">
        <v>21064</v>
      </c>
      <c r="L43" s="6">
        <f t="shared" si="4"/>
        <v>413.93709677419361</v>
      </c>
      <c r="M43" t="s">
        <v>238</v>
      </c>
    </row>
    <row r="44" spans="1:13">
      <c r="A44" t="s">
        <v>262</v>
      </c>
      <c r="B44" t="s">
        <v>240</v>
      </c>
      <c r="C44" s="5">
        <v>1000</v>
      </c>
      <c r="D44" s="5">
        <v>1</v>
      </c>
      <c r="E44" s="5">
        <v>500</v>
      </c>
      <c r="F44" s="5">
        <v>5</v>
      </c>
      <c r="G44" s="5">
        <f t="shared" si="5"/>
        <v>505</v>
      </c>
      <c r="H44" s="5" t="s">
        <v>75</v>
      </c>
      <c r="I44" s="5">
        <v>49.6</v>
      </c>
      <c r="J44" s="7">
        <v>736</v>
      </c>
      <c r="K44">
        <v>22471</v>
      </c>
      <c r="L44" s="6">
        <f t="shared" si="4"/>
        <v>442.58770161290323</v>
      </c>
      <c r="M44" t="s">
        <v>240</v>
      </c>
    </row>
    <row r="45" spans="1:13">
      <c r="A45" t="s">
        <v>263</v>
      </c>
      <c r="B45" t="s">
        <v>242</v>
      </c>
      <c r="C45" s="5">
        <v>100</v>
      </c>
      <c r="D45" s="5">
        <v>1</v>
      </c>
      <c r="E45" s="5">
        <v>500</v>
      </c>
      <c r="F45" s="5">
        <v>5</v>
      </c>
      <c r="G45" s="5">
        <f t="shared" si="5"/>
        <v>505</v>
      </c>
      <c r="H45" s="5" t="s">
        <v>75</v>
      </c>
      <c r="I45" s="5">
        <v>49.6</v>
      </c>
      <c r="J45" s="7">
        <v>736</v>
      </c>
      <c r="K45">
        <v>24197</v>
      </c>
      <c r="L45" s="6">
        <f t="shared" si="4"/>
        <v>47.773407258064516</v>
      </c>
      <c r="M45" t="s">
        <v>242</v>
      </c>
    </row>
    <row r="46" spans="1:13">
      <c r="A46" t="s">
        <v>181</v>
      </c>
      <c r="B46" t="s">
        <v>244</v>
      </c>
      <c r="C46" s="5">
        <v>100</v>
      </c>
      <c r="D46" s="5">
        <v>1</v>
      </c>
      <c r="E46" s="5">
        <v>500</v>
      </c>
      <c r="F46" s="5">
        <v>5</v>
      </c>
      <c r="G46" s="5">
        <f t="shared" si="5"/>
        <v>505</v>
      </c>
      <c r="H46" s="5" t="s">
        <v>75</v>
      </c>
      <c r="I46" s="5">
        <v>49.6</v>
      </c>
      <c r="J46" s="7">
        <v>736</v>
      </c>
      <c r="K46">
        <v>24221</v>
      </c>
      <c r="L46" s="6">
        <f t="shared" si="4"/>
        <v>47.822278225806457</v>
      </c>
      <c r="M46" t="s">
        <v>244</v>
      </c>
    </row>
    <row r="47" spans="1:13">
      <c r="A47" t="s">
        <v>182</v>
      </c>
      <c r="B47" t="s">
        <v>246</v>
      </c>
      <c r="C47" s="5">
        <v>100</v>
      </c>
      <c r="D47" s="5">
        <v>1</v>
      </c>
      <c r="E47" s="5">
        <v>500</v>
      </c>
      <c r="F47" s="5">
        <v>5</v>
      </c>
      <c r="G47" s="5">
        <f t="shared" si="5"/>
        <v>505</v>
      </c>
      <c r="H47" s="5" t="s">
        <v>75</v>
      </c>
      <c r="I47" s="5">
        <v>49.6</v>
      </c>
      <c r="J47" s="7">
        <v>736</v>
      </c>
      <c r="K47">
        <v>24245</v>
      </c>
      <c r="L47" s="6">
        <f t="shared" si="4"/>
        <v>47.871149193548391</v>
      </c>
      <c r="M47" t="s">
        <v>246</v>
      </c>
    </row>
    <row r="48" spans="1:13">
      <c r="A48" t="s">
        <v>151</v>
      </c>
      <c r="B48" t="s">
        <v>206</v>
      </c>
      <c r="C48" s="5">
        <v>1000</v>
      </c>
      <c r="D48" s="5">
        <v>1</v>
      </c>
      <c r="E48" s="5">
        <v>500</v>
      </c>
      <c r="F48" s="5">
        <v>5</v>
      </c>
      <c r="G48" s="5">
        <f t="shared" si="5"/>
        <v>505</v>
      </c>
      <c r="H48" s="5" t="s">
        <v>75</v>
      </c>
      <c r="I48" s="5">
        <v>49.6</v>
      </c>
      <c r="J48" s="7">
        <v>736</v>
      </c>
      <c r="K48">
        <v>22414</v>
      </c>
      <c r="L48" s="6">
        <f t="shared" si="4"/>
        <v>441.42701612903227</v>
      </c>
      <c r="M48" t="s">
        <v>206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8"/>
  </sheetPr>
  <dimension ref="A3:AN39"/>
  <sheetViews>
    <sheetView workbookViewId="0">
      <selection activeCell="AK20" sqref="AK20"/>
    </sheetView>
  </sheetViews>
  <sheetFormatPr defaultRowHeight="15"/>
  <sheetData>
    <row r="3" spans="1:40">
      <c r="H3" t="s">
        <v>347</v>
      </c>
      <c r="I3" t="s">
        <v>348</v>
      </c>
      <c r="AB3" s="2" t="s">
        <v>346</v>
      </c>
    </row>
    <row r="4" spans="1:40">
      <c r="A4">
        <v>33</v>
      </c>
      <c r="B4">
        <v>1</v>
      </c>
      <c r="C4" s="10" t="s">
        <v>289</v>
      </c>
      <c r="D4">
        <v>50</v>
      </c>
      <c r="E4">
        <v>21.2</v>
      </c>
      <c r="F4">
        <v>10.1</v>
      </c>
      <c r="G4">
        <v>10</v>
      </c>
      <c r="H4">
        <f>1.2403*1.76*(E4-F4)*(G4/D4)</f>
        <v>4.8461001599999998</v>
      </c>
      <c r="I4">
        <f>(1.2403*1.76*E4*(G4/D4))-H4</f>
        <v>4.4095145600000007</v>
      </c>
    </row>
    <row r="5" spans="1:40">
      <c r="A5">
        <v>34</v>
      </c>
      <c r="B5">
        <v>1</v>
      </c>
      <c r="C5" s="10" t="s">
        <v>290</v>
      </c>
      <c r="D5">
        <v>50</v>
      </c>
      <c r="E5">
        <v>26.6</v>
      </c>
      <c r="F5">
        <v>12.9</v>
      </c>
      <c r="G5">
        <v>10</v>
      </c>
      <c r="H5">
        <f t="shared" ref="H5:H43" si="0">1.2403*1.76*(E5-F5)*(G5/D5)</f>
        <v>5.9812227200000008</v>
      </c>
      <c r="I5">
        <f t="shared" ref="I5:I39" si="1">(1.2403*1.76*E5*(G5/D5))-H5</f>
        <v>5.6319542399999998</v>
      </c>
      <c r="P5" t="s">
        <v>291</v>
      </c>
      <c r="Q5" t="s">
        <v>422</v>
      </c>
      <c r="R5" t="s">
        <v>423</v>
      </c>
      <c r="AB5" t="s">
        <v>291</v>
      </c>
      <c r="AC5" t="s">
        <v>345</v>
      </c>
      <c r="AD5" t="s">
        <v>344</v>
      </c>
      <c r="AL5" t="s">
        <v>349</v>
      </c>
    </row>
    <row r="6" spans="1:40">
      <c r="A6">
        <v>35</v>
      </c>
      <c r="B6">
        <v>1</v>
      </c>
      <c r="C6" s="10" t="s">
        <v>292</v>
      </c>
      <c r="D6">
        <v>50</v>
      </c>
      <c r="E6">
        <v>26.8</v>
      </c>
      <c r="F6">
        <v>12.9</v>
      </c>
      <c r="G6">
        <v>10</v>
      </c>
      <c r="H6">
        <f t="shared" si="0"/>
        <v>6.0685398400000006</v>
      </c>
      <c r="I6">
        <f t="shared" si="1"/>
        <v>5.6319542399999998</v>
      </c>
      <c r="Q6">
        <v>0</v>
      </c>
      <c r="R6">
        <v>32</v>
      </c>
      <c r="AB6" t="s">
        <v>338</v>
      </c>
      <c r="AC6">
        <f t="shared" ref="AC6:AC11" si="2">H4</f>
        <v>4.8461001599999998</v>
      </c>
      <c r="AD6">
        <f t="shared" ref="AD6:AD11" si="3">H10</f>
        <v>5.3700028800000004</v>
      </c>
      <c r="AL6" t="s">
        <v>345</v>
      </c>
      <c r="AM6" t="s">
        <v>344</v>
      </c>
    </row>
    <row r="7" spans="1:40">
      <c r="A7">
        <v>36</v>
      </c>
      <c r="B7">
        <v>1</v>
      </c>
      <c r="C7" s="10" t="s">
        <v>293</v>
      </c>
      <c r="D7">
        <v>50</v>
      </c>
      <c r="E7">
        <v>16.7</v>
      </c>
      <c r="F7">
        <v>8.18</v>
      </c>
      <c r="G7">
        <v>10</v>
      </c>
      <c r="H7">
        <f t="shared" si="0"/>
        <v>3.719709312</v>
      </c>
      <c r="I7">
        <f t="shared" si="1"/>
        <v>3.5712702079999996</v>
      </c>
      <c r="O7" t="s">
        <v>287</v>
      </c>
      <c r="P7" t="s">
        <v>421</v>
      </c>
      <c r="Q7">
        <f>AVERAGE(H4:H6)</f>
        <v>5.6319542399999998</v>
      </c>
      <c r="R7">
        <f>AVERAGE(H10:H12)</f>
        <v>6.0248812800000016</v>
      </c>
      <c r="AB7" t="s">
        <v>339</v>
      </c>
      <c r="AC7">
        <f t="shared" si="2"/>
        <v>5.9812227200000008</v>
      </c>
      <c r="AD7">
        <f t="shared" si="3"/>
        <v>7.9021993600000009</v>
      </c>
      <c r="AK7" t="s">
        <v>291</v>
      </c>
      <c r="AL7">
        <f>TTEST(AC6:AC8,AC9:AC11,2,2)</f>
        <v>5.6759401858417269E-2</v>
      </c>
      <c r="AM7">
        <f>TTEST(AD6:AD8,AD9:AD11,2,2)</f>
        <v>4.2613958367870387E-2</v>
      </c>
      <c r="AN7" t="s">
        <v>351</v>
      </c>
    </row>
    <row r="8" spans="1:40">
      <c r="A8">
        <v>37</v>
      </c>
      <c r="B8">
        <v>1</v>
      </c>
      <c r="C8" s="10" t="s">
        <v>294</v>
      </c>
      <c r="D8">
        <v>50</v>
      </c>
      <c r="E8">
        <v>22</v>
      </c>
      <c r="F8">
        <v>10.8</v>
      </c>
      <c r="G8">
        <v>10</v>
      </c>
      <c r="H8">
        <f t="shared" si="0"/>
        <v>4.8897587199999997</v>
      </c>
      <c r="I8">
        <f t="shared" si="1"/>
        <v>4.7151244800000018</v>
      </c>
      <c r="P8" t="s">
        <v>14</v>
      </c>
      <c r="Q8">
        <f>AVERAGE(H7:H9)</f>
        <v>3.9234492586666665</v>
      </c>
      <c r="R8">
        <f>AVERAGE(H13:H15)</f>
        <v>3.1958065920000003</v>
      </c>
      <c r="AB8" t="s">
        <v>340</v>
      </c>
      <c r="AC8">
        <f t="shared" si="2"/>
        <v>6.0685398400000006</v>
      </c>
      <c r="AD8">
        <f t="shared" si="3"/>
        <v>4.8024416000000008</v>
      </c>
      <c r="AK8" t="s">
        <v>299</v>
      </c>
      <c r="AL8">
        <f>TTEST(AC14:AC16,AC17:AC19,2,2)</f>
        <v>1.9552728595886006E-2</v>
      </c>
      <c r="AM8">
        <f>TTEST(AD14:AD16,AD17:AD19,2,2)</f>
        <v>0.74243442390278469</v>
      </c>
      <c r="AN8" t="s">
        <v>350</v>
      </c>
    </row>
    <row r="9" spans="1:40">
      <c r="A9">
        <v>38</v>
      </c>
      <c r="B9">
        <v>1</v>
      </c>
      <c r="C9" s="10" t="s">
        <v>295</v>
      </c>
      <c r="D9">
        <v>50</v>
      </c>
      <c r="E9">
        <v>14.4</v>
      </c>
      <c r="F9">
        <v>7.16</v>
      </c>
      <c r="G9">
        <v>10</v>
      </c>
      <c r="H9">
        <f t="shared" si="0"/>
        <v>3.1608797440000003</v>
      </c>
      <c r="I9">
        <f t="shared" si="1"/>
        <v>3.1259528959999998</v>
      </c>
      <c r="O9" t="s">
        <v>12</v>
      </c>
      <c r="Q9">
        <f>STDEV(H4:H6)/(SQRT(3))</f>
        <v>0.39373470177720732</v>
      </c>
      <c r="R9">
        <f>STDEV(H10:H12)/(SQRT(3))</f>
        <v>0.95285078086060104</v>
      </c>
      <c r="AB9" t="s">
        <v>341</v>
      </c>
      <c r="AC9">
        <f t="shared" si="2"/>
        <v>3.719709312</v>
      </c>
      <c r="AD9">
        <f t="shared" si="3"/>
        <v>2.9032942400000001</v>
      </c>
    </row>
    <row r="10" spans="1:40">
      <c r="A10">
        <v>39</v>
      </c>
      <c r="B10">
        <v>1</v>
      </c>
      <c r="C10" s="10" t="s">
        <v>296</v>
      </c>
      <c r="D10">
        <v>50</v>
      </c>
      <c r="E10">
        <v>23.9</v>
      </c>
      <c r="F10">
        <v>11.6</v>
      </c>
      <c r="G10">
        <v>10</v>
      </c>
      <c r="H10">
        <f t="shared" si="0"/>
        <v>5.3700028800000004</v>
      </c>
      <c r="I10">
        <f t="shared" si="1"/>
        <v>5.0643929600000002</v>
      </c>
      <c r="Q10">
        <f>STDEV(H7:H9)/(SQRT(3))</f>
        <v>0.50937481380430361</v>
      </c>
      <c r="R10">
        <f>STDEV(H13:H15)/(SQRT(3))</f>
        <v>0.14626160606835287</v>
      </c>
      <c r="AB10" t="s">
        <v>342</v>
      </c>
      <c r="AC10">
        <f t="shared" si="2"/>
        <v>4.8897587199999997</v>
      </c>
      <c r="AD10">
        <f t="shared" si="3"/>
        <v>3.3442456960000002</v>
      </c>
    </row>
    <row r="11" spans="1:40">
      <c r="A11">
        <v>40</v>
      </c>
      <c r="B11">
        <v>1</v>
      </c>
      <c r="C11" s="10" t="s">
        <v>297</v>
      </c>
      <c r="D11">
        <v>50</v>
      </c>
      <c r="E11">
        <v>35.200000000000003</v>
      </c>
      <c r="F11">
        <v>17.100000000000001</v>
      </c>
      <c r="G11">
        <v>10</v>
      </c>
      <c r="H11">
        <f t="shared" si="0"/>
        <v>7.9021993600000009</v>
      </c>
      <c r="I11">
        <f t="shared" si="1"/>
        <v>7.4656137600000019</v>
      </c>
      <c r="AB11" t="s">
        <v>343</v>
      </c>
      <c r="AC11">
        <f t="shared" si="2"/>
        <v>3.1608797440000003</v>
      </c>
      <c r="AD11">
        <f t="shared" si="3"/>
        <v>3.33987984</v>
      </c>
      <c r="AL11" t="s">
        <v>352</v>
      </c>
    </row>
    <row r="12" spans="1:40">
      <c r="A12">
        <v>41</v>
      </c>
      <c r="B12">
        <v>1</v>
      </c>
      <c r="C12" s="10" t="s">
        <v>298</v>
      </c>
      <c r="D12">
        <v>50</v>
      </c>
      <c r="E12">
        <v>21.5</v>
      </c>
      <c r="F12">
        <v>10.5</v>
      </c>
      <c r="G12">
        <v>10</v>
      </c>
      <c r="H12">
        <f t="shared" si="0"/>
        <v>4.8024416000000008</v>
      </c>
      <c r="I12">
        <f t="shared" si="1"/>
        <v>4.5841488000000004</v>
      </c>
      <c r="P12" t="s">
        <v>299</v>
      </c>
      <c r="Q12" t="s">
        <v>422</v>
      </c>
      <c r="R12" t="s">
        <v>423</v>
      </c>
      <c r="AL12" t="s">
        <v>13</v>
      </c>
      <c r="AM12" t="s">
        <v>14</v>
      </c>
    </row>
    <row r="13" spans="1:40">
      <c r="A13">
        <v>42</v>
      </c>
      <c r="B13">
        <v>1</v>
      </c>
      <c r="C13" s="10" t="s">
        <v>300</v>
      </c>
      <c r="D13">
        <v>50</v>
      </c>
      <c r="E13">
        <v>13.3</v>
      </c>
      <c r="F13">
        <v>6.65</v>
      </c>
      <c r="G13">
        <v>10</v>
      </c>
      <c r="H13">
        <f t="shared" si="0"/>
        <v>2.9032942400000001</v>
      </c>
      <c r="I13">
        <f t="shared" si="1"/>
        <v>2.9032942400000001</v>
      </c>
      <c r="Q13">
        <v>0</v>
      </c>
      <c r="R13">
        <v>27</v>
      </c>
      <c r="AB13" t="s">
        <v>299</v>
      </c>
      <c r="AC13" t="s">
        <v>345</v>
      </c>
      <c r="AD13" t="s">
        <v>344</v>
      </c>
      <c r="AK13" t="s">
        <v>291</v>
      </c>
      <c r="AL13">
        <f>TTEST(AC6:AC8,AD6:AD8,2,2)</f>
        <v>0.72249628733450866</v>
      </c>
      <c r="AM13">
        <f>TTEST(AC9:AC11,AD9:AD11,2,2)</f>
        <v>0.24168669057094988</v>
      </c>
      <c r="AN13" t="s">
        <v>353</v>
      </c>
    </row>
    <row r="14" spans="1:40">
      <c r="A14">
        <v>43</v>
      </c>
      <c r="B14">
        <v>1</v>
      </c>
      <c r="C14" s="10" t="s">
        <v>301</v>
      </c>
      <c r="D14">
        <v>50</v>
      </c>
      <c r="E14">
        <v>14.9</v>
      </c>
      <c r="F14">
        <v>7.24</v>
      </c>
      <c r="G14">
        <v>10</v>
      </c>
      <c r="H14">
        <f t="shared" si="0"/>
        <v>3.3442456960000002</v>
      </c>
      <c r="I14">
        <f t="shared" si="1"/>
        <v>3.1608797440000003</v>
      </c>
      <c r="O14" t="s">
        <v>287</v>
      </c>
      <c r="P14" t="s">
        <v>421</v>
      </c>
      <c r="Q14">
        <f>AVERAGE(H16:H18)</f>
        <v>2.882920245333334</v>
      </c>
      <c r="R14">
        <f>AVERAGE(H22:H24)</f>
        <v>3.1303187519999995</v>
      </c>
      <c r="AB14" t="s">
        <v>338</v>
      </c>
      <c r="AC14">
        <f t="shared" ref="AC14:AC19" si="4">H16</f>
        <v>2.8683673920000001</v>
      </c>
      <c r="AD14">
        <f t="shared" ref="AD14:AD19" si="5">H22</f>
        <v>4.1475632000000004</v>
      </c>
      <c r="AK14" t="s">
        <v>299</v>
      </c>
      <c r="AL14">
        <f>TTEST(AC14:AC16,AD14:AD16,2,2)</f>
        <v>0.68160201250800201</v>
      </c>
      <c r="AM14">
        <f>TTEST(AC17:AC19,AD17:AD19,2,2)</f>
        <v>0.10228097043778608</v>
      </c>
      <c r="AN14" t="s">
        <v>353</v>
      </c>
    </row>
    <row r="15" spans="1:40">
      <c r="A15">
        <v>44</v>
      </c>
      <c r="B15">
        <v>1</v>
      </c>
      <c r="C15" s="10" t="s">
        <v>302</v>
      </c>
      <c r="D15">
        <v>50</v>
      </c>
      <c r="E15">
        <v>15.2</v>
      </c>
      <c r="F15">
        <v>7.55</v>
      </c>
      <c r="G15">
        <v>10</v>
      </c>
      <c r="H15">
        <f t="shared" si="0"/>
        <v>3.33987984</v>
      </c>
      <c r="I15">
        <f t="shared" si="1"/>
        <v>3.2962212799999993</v>
      </c>
      <c r="P15" t="s">
        <v>14</v>
      </c>
      <c r="Q15">
        <f>AVERAGE(H19:H21)</f>
        <v>4.293091733333334</v>
      </c>
      <c r="R15">
        <f>AVERAGE(H25:H27)</f>
        <v>2.8479933973333331</v>
      </c>
      <c r="AB15" t="s">
        <v>339</v>
      </c>
      <c r="AC15">
        <f t="shared" si="4"/>
        <v>3.2743920000000006</v>
      </c>
      <c r="AD15">
        <f t="shared" si="5"/>
        <v>2.7548551359999998</v>
      </c>
    </row>
    <row r="16" spans="1:40">
      <c r="A16">
        <v>45</v>
      </c>
      <c r="B16">
        <v>2</v>
      </c>
      <c r="C16" s="10" t="s">
        <v>289</v>
      </c>
      <c r="D16">
        <v>50</v>
      </c>
      <c r="E16">
        <v>13.4</v>
      </c>
      <c r="F16">
        <v>6.83</v>
      </c>
      <c r="G16">
        <v>10</v>
      </c>
      <c r="H16">
        <f t="shared" si="0"/>
        <v>2.8683673920000001</v>
      </c>
      <c r="I16">
        <f t="shared" si="1"/>
        <v>2.981879648</v>
      </c>
      <c r="O16" t="s">
        <v>12</v>
      </c>
      <c r="Q16">
        <f>STDEV(H16:H18)/(SQRT(3))</f>
        <v>0.22193459187497394</v>
      </c>
      <c r="R16">
        <f>STDEV(H22:H24)/(SQRT(3))</f>
        <v>0.5143996225778229</v>
      </c>
      <c r="AB16" t="s">
        <v>340</v>
      </c>
      <c r="AC16">
        <f t="shared" si="4"/>
        <v>2.5060013440000009</v>
      </c>
      <c r="AD16">
        <f t="shared" si="5"/>
        <v>2.4885379199999997</v>
      </c>
    </row>
    <row r="17" spans="1:30">
      <c r="A17">
        <v>46</v>
      </c>
      <c r="B17">
        <v>2</v>
      </c>
      <c r="C17" s="10" t="s">
        <v>290</v>
      </c>
      <c r="D17">
        <v>50</v>
      </c>
      <c r="E17">
        <v>15.7</v>
      </c>
      <c r="F17">
        <v>8.1999999999999993</v>
      </c>
      <c r="G17">
        <v>10</v>
      </c>
      <c r="H17">
        <f t="shared" si="0"/>
        <v>3.2743920000000006</v>
      </c>
      <c r="I17">
        <f t="shared" si="1"/>
        <v>3.5800019199999991</v>
      </c>
      <c r="Q17">
        <f>STDEV(H19:H21)/(SQRT(3))</f>
        <v>0.30071984577081851</v>
      </c>
      <c r="R17">
        <f>STDEV(H25:H27)/(SQRT(3))</f>
        <v>0.61467331628846122</v>
      </c>
      <c r="AB17" t="s">
        <v>341</v>
      </c>
      <c r="AC17">
        <f t="shared" si="4"/>
        <v>3.7109776000000014</v>
      </c>
      <c r="AD17">
        <f t="shared" si="5"/>
        <v>2.9775137920000003</v>
      </c>
    </row>
    <row r="18" spans="1:30">
      <c r="A18">
        <v>47</v>
      </c>
      <c r="B18">
        <v>2</v>
      </c>
      <c r="C18" s="10" t="s">
        <v>292</v>
      </c>
      <c r="D18">
        <v>50</v>
      </c>
      <c r="E18">
        <v>11.8</v>
      </c>
      <c r="F18">
        <v>6.06</v>
      </c>
      <c r="G18">
        <v>10</v>
      </c>
      <c r="H18">
        <f t="shared" si="0"/>
        <v>2.5060013440000009</v>
      </c>
      <c r="I18">
        <f t="shared" si="1"/>
        <v>2.645708736</v>
      </c>
      <c r="AB18" t="s">
        <v>342</v>
      </c>
      <c r="AC18">
        <f t="shared" si="4"/>
        <v>4.4531731200000007</v>
      </c>
      <c r="AD18">
        <f t="shared" si="5"/>
        <v>1.7245131200000001</v>
      </c>
    </row>
    <row r="19" spans="1:30">
      <c r="A19">
        <v>48</v>
      </c>
      <c r="B19">
        <v>2</v>
      </c>
      <c r="C19" s="10" t="s">
        <v>293</v>
      </c>
      <c r="D19">
        <v>50</v>
      </c>
      <c r="E19">
        <v>17.600000000000001</v>
      </c>
      <c r="F19">
        <v>9.1</v>
      </c>
      <c r="G19">
        <v>10</v>
      </c>
      <c r="H19">
        <f t="shared" si="0"/>
        <v>3.7109776000000014</v>
      </c>
      <c r="I19">
        <f t="shared" si="1"/>
        <v>3.97292896</v>
      </c>
      <c r="AB19" t="s">
        <v>343</v>
      </c>
      <c r="AC19">
        <f t="shared" si="4"/>
        <v>4.7151244799999992</v>
      </c>
      <c r="AD19">
        <f t="shared" si="5"/>
        <v>3.8419532799999994</v>
      </c>
    </row>
    <row r="20" spans="1:30">
      <c r="A20">
        <v>49</v>
      </c>
      <c r="B20">
        <v>2</v>
      </c>
      <c r="C20" s="10" t="s">
        <v>294</v>
      </c>
      <c r="D20">
        <v>50</v>
      </c>
      <c r="E20">
        <v>21.1</v>
      </c>
      <c r="F20">
        <v>10.9</v>
      </c>
      <c r="G20">
        <v>10</v>
      </c>
      <c r="H20">
        <f t="shared" si="0"/>
        <v>4.4531731200000007</v>
      </c>
      <c r="I20">
        <f t="shared" si="1"/>
        <v>4.7587830400000009</v>
      </c>
    </row>
    <row r="21" spans="1:30">
      <c r="A21">
        <v>50</v>
      </c>
      <c r="B21">
        <v>2</v>
      </c>
      <c r="C21" s="10" t="s">
        <v>295</v>
      </c>
      <c r="D21">
        <v>50</v>
      </c>
      <c r="E21">
        <v>21.4</v>
      </c>
      <c r="F21">
        <v>10.6</v>
      </c>
      <c r="G21">
        <v>10</v>
      </c>
      <c r="H21">
        <f t="shared" si="0"/>
        <v>4.7151244799999992</v>
      </c>
      <c r="I21">
        <f t="shared" si="1"/>
        <v>4.6278073600000011</v>
      </c>
    </row>
    <row r="22" spans="1:30">
      <c r="A22">
        <v>51</v>
      </c>
      <c r="B22">
        <v>2</v>
      </c>
      <c r="C22" s="10" t="s">
        <v>296</v>
      </c>
      <c r="D22">
        <v>50</v>
      </c>
      <c r="E22">
        <v>21.1</v>
      </c>
      <c r="F22">
        <v>11.6</v>
      </c>
      <c r="G22">
        <v>10</v>
      </c>
      <c r="H22">
        <f t="shared" si="0"/>
        <v>4.1475632000000004</v>
      </c>
      <c r="I22">
        <f t="shared" si="1"/>
        <v>5.0643929600000011</v>
      </c>
    </row>
    <row r="23" spans="1:30">
      <c r="A23">
        <v>52</v>
      </c>
      <c r="B23">
        <v>2</v>
      </c>
      <c r="C23" s="10" t="s">
        <v>297</v>
      </c>
      <c r="D23">
        <v>50</v>
      </c>
      <c r="E23">
        <v>13.6</v>
      </c>
      <c r="F23">
        <v>7.29</v>
      </c>
      <c r="G23">
        <v>10</v>
      </c>
      <c r="H23">
        <f t="shared" si="0"/>
        <v>2.7548551359999998</v>
      </c>
      <c r="I23">
        <f t="shared" si="1"/>
        <v>3.1827090240000002</v>
      </c>
    </row>
    <row r="24" spans="1:30">
      <c r="A24">
        <v>53</v>
      </c>
      <c r="B24">
        <v>2</v>
      </c>
      <c r="C24" s="10" t="s">
        <v>298</v>
      </c>
      <c r="D24">
        <v>50</v>
      </c>
      <c r="E24">
        <v>12.6</v>
      </c>
      <c r="F24">
        <v>6.9</v>
      </c>
      <c r="G24">
        <v>10</v>
      </c>
      <c r="H24">
        <f t="shared" si="0"/>
        <v>2.4885379199999997</v>
      </c>
      <c r="I24">
        <f t="shared" si="1"/>
        <v>3.0124406400000003</v>
      </c>
    </row>
    <row r="25" spans="1:30">
      <c r="A25">
        <v>54</v>
      </c>
      <c r="B25">
        <v>2</v>
      </c>
      <c r="C25" s="10" t="s">
        <v>300</v>
      </c>
      <c r="D25">
        <v>50</v>
      </c>
      <c r="E25">
        <v>15.1</v>
      </c>
      <c r="F25">
        <v>8.2799999999999994</v>
      </c>
      <c r="G25">
        <v>10</v>
      </c>
      <c r="H25">
        <f t="shared" si="0"/>
        <v>2.9775137920000003</v>
      </c>
      <c r="I25">
        <f t="shared" si="1"/>
        <v>3.6149287679999991</v>
      </c>
    </row>
    <row r="26" spans="1:30">
      <c r="A26">
        <v>55</v>
      </c>
      <c r="B26">
        <v>2</v>
      </c>
      <c r="C26" s="10" t="s">
        <v>301</v>
      </c>
      <c r="D26">
        <v>50</v>
      </c>
      <c r="E26">
        <v>9.4</v>
      </c>
      <c r="F26">
        <v>5.45</v>
      </c>
      <c r="G26">
        <v>10</v>
      </c>
      <c r="H26">
        <f t="shared" si="0"/>
        <v>1.7245131200000001</v>
      </c>
      <c r="I26">
        <f t="shared" si="1"/>
        <v>2.3793915200000004</v>
      </c>
    </row>
    <row r="27" spans="1:30">
      <c r="A27">
        <v>56</v>
      </c>
      <c r="B27">
        <v>2</v>
      </c>
      <c r="C27" s="10" t="s">
        <v>302</v>
      </c>
      <c r="D27">
        <v>50</v>
      </c>
      <c r="E27">
        <v>20.2</v>
      </c>
      <c r="F27">
        <v>11.4</v>
      </c>
      <c r="G27">
        <v>10</v>
      </c>
      <c r="H27">
        <f t="shared" si="0"/>
        <v>3.8419532799999994</v>
      </c>
      <c r="I27">
        <f t="shared" si="1"/>
        <v>4.9770758400000004</v>
      </c>
    </row>
    <row r="28" spans="1:30">
      <c r="A28">
        <v>69</v>
      </c>
      <c r="B28" t="s">
        <v>303</v>
      </c>
      <c r="C28" s="10"/>
      <c r="E28">
        <v>1.7999999999999999E-2</v>
      </c>
      <c r="F28">
        <v>9.0999999999999998E-2</v>
      </c>
      <c r="G28">
        <v>10</v>
      </c>
    </row>
    <row r="29" spans="1:30">
      <c r="A29">
        <v>70</v>
      </c>
      <c r="B29" t="s">
        <v>303</v>
      </c>
      <c r="C29" s="10"/>
      <c r="E29">
        <v>0.03</v>
      </c>
      <c r="F29">
        <v>0.03</v>
      </c>
      <c r="G29">
        <v>10</v>
      </c>
      <c r="AB29" t="s">
        <v>363</v>
      </c>
      <c r="AC29" t="s">
        <v>345</v>
      </c>
    </row>
    <row r="30" spans="1:30">
      <c r="A30">
        <v>71</v>
      </c>
      <c r="B30" t="s">
        <v>304</v>
      </c>
      <c r="C30" s="10"/>
      <c r="E30">
        <v>0</v>
      </c>
      <c r="F30">
        <v>0</v>
      </c>
      <c r="G30">
        <v>10</v>
      </c>
      <c r="AB30" t="s">
        <v>291</v>
      </c>
      <c r="AC30">
        <f>TTEST(AC6:AC8,AC9:AC11,2,2)</f>
        <v>5.6759401858417269E-2</v>
      </c>
    </row>
    <row r="31" spans="1:30">
      <c r="A31">
        <v>72</v>
      </c>
      <c r="B31" t="s">
        <v>305</v>
      </c>
      <c r="C31" s="10"/>
      <c r="D31">
        <v>43</v>
      </c>
      <c r="E31">
        <v>1.96</v>
      </c>
      <c r="F31">
        <v>1.21</v>
      </c>
      <c r="G31">
        <v>10</v>
      </c>
      <c r="H31">
        <f>1.2403*1.76*(E31-F31)*(G31/D31)</f>
        <v>0.38074325581395346</v>
      </c>
      <c r="AB31" t="s">
        <v>299</v>
      </c>
      <c r="AC31">
        <f>TTEST(AC14:AC16,AC17:AC19,2,2)</f>
        <v>1.9552728595886006E-2</v>
      </c>
    </row>
    <row r="32" spans="1:30">
      <c r="C32" s="10"/>
    </row>
    <row r="33" spans="3:3">
      <c r="C33" s="10"/>
    </row>
    <row r="34" spans="3:3">
      <c r="C34" s="10"/>
    </row>
    <row r="35" spans="3:3">
      <c r="C35" s="10"/>
    </row>
    <row r="36" spans="3:3">
      <c r="C36" s="10"/>
    </row>
    <row r="37" spans="3:3">
      <c r="C37" s="10"/>
    </row>
    <row r="38" spans="3:3">
      <c r="C38" s="10"/>
    </row>
    <row r="39" spans="3:3">
      <c r="C39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All-Info</vt:lpstr>
      <vt:lpstr>1-NH4</vt:lpstr>
      <vt:lpstr>1-Bac</vt:lpstr>
      <vt:lpstr>1-Vir</vt:lpstr>
      <vt:lpstr>1-PP</vt:lpstr>
      <vt:lpstr>2-NH4</vt:lpstr>
      <vt:lpstr>2-Bac</vt:lpstr>
      <vt:lpstr>2-Vir</vt:lpstr>
      <vt:lpstr>All-Chla</vt:lpstr>
      <vt:lpstr>1-PP-New</vt:lpstr>
      <vt:lpstr>2-PP-New</vt:lpstr>
      <vt:lpstr>Lysate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Shelford</dc:creator>
  <cp:lastModifiedBy>Emma Shelford</cp:lastModifiedBy>
  <dcterms:created xsi:type="dcterms:W3CDTF">2012-09-15T23:36:50Z</dcterms:created>
  <dcterms:modified xsi:type="dcterms:W3CDTF">2018-02-06T17:22:19Z</dcterms:modified>
</cp:coreProperties>
</file>